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user/Downloads/"/>
    </mc:Choice>
  </mc:AlternateContent>
  <xr:revisionPtr revIDLastSave="0" documentId="13_ncr:1_{FA736C68-37E4-F14E-B9D9-16B9D911BCF4}" xr6:coauthVersionLast="47" xr6:coauthVersionMax="47" xr10:uidLastSave="{00000000-0000-0000-0000-000000000000}"/>
  <bookViews>
    <workbookView xWindow="0" yWindow="600" windowWidth="68800" windowHeight="26240" tabRatio="500" activeTab="1" xr2:uid="{00000000-000D-0000-FFFF-FFFF00000000}"/>
  </bookViews>
  <sheets>
    <sheet name="Cover" sheetId="2" r:id="rId1"/>
    <sheet name="Graphs" sheetId="1" r:id="rId2"/>
    <sheet name="Summary" sheetId="3" r:id="rId3"/>
    <sheet name="Guidance" sheetId="4" r:id="rId4"/>
    <sheet name="Comps" sheetId="5" r:id="rId5"/>
    <sheet name="Consensus" sheetId="6" r:id="rId6"/>
    <sheet name="Assumptions" sheetId="7" r:id="rId7"/>
    <sheet name="Segment" sheetId="8" r:id="rId8"/>
    <sheet name="IS" sheetId="9" r:id="rId9"/>
    <sheet name="BS" sheetId="10" r:id="rId10"/>
    <sheet name="CF" sheetId="11" r:id="rId11"/>
    <sheet name="Checks" sheetId="12" r:id="rId12"/>
    <sheet name="DCF" sheetId="13" r:id="rId13"/>
    <sheet name="Valuation" sheetId="14" r:id="rId14"/>
    <sheet name="Raw_Data" sheetId="15" r:id="rId15"/>
    <sheet name="Data_Sources" sheetId="16" r:id="rId16"/>
  </sheets>
  <calcPr calcId="191029" iterate="1" iterateCount="200"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74" i="14" l="1"/>
  <c r="C74" i="14"/>
  <c r="B74" i="14"/>
  <c r="B72" i="14"/>
  <c r="D72" i="14" s="1"/>
  <c r="C71" i="14"/>
  <c r="B71" i="14"/>
  <c r="D71" i="14" s="1"/>
  <c r="C70" i="14"/>
  <c r="B70" i="14"/>
  <c r="D70" i="14" s="1"/>
  <c r="D73" i="14" s="1"/>
  <c r="C41" i="14"/>
  <c r="B54" i="14" s="1"/>
  <c r="C31" i="14"/>
  <c r="G262" i="1" s="1"/>
  <c r="B31" i="14"/>
  <c r="G261" i="1" s="1"/>
  <c r="B23" i="14"/>
  <c r="B22" i="14"/>
  <c r="B21" i="14"/>
  <c r="B20" i="14"/>
  <c r="B19" i="14"/>
  <c r="B131" i="13"/>
  <c r="B129" i="13"/>
  <c r="E121" i="13"/>
  <c r="D121" i="13"/>
  <c r="E120" i="13"/>
  <c r="E80" i="13"/>
  <c r="D80" i="13"/>
  <c r="C80" i="13"/>
  <c r="B75" i="13"/>
  <c r="B73" i="13"/>
  <c r="B67" i="13"/>
  <c r="B66" i="13"/>
  <c r="B64" i="13"/>
  <c r="L39" i="13"/>
  <c r="K39" i="13"/>
  <c r="J39" i="13"/>
  <c r="I39" i="13"/>
  <c r="H39" i="13"/>
  <c r="G39" i="13"/>
  <c r="F39" i="13"/>
  <c r="C33" i="13"/>
  <c r="E31" i="13"/>
  <c r="D31" i="13"/>
  <c r="D33" i="13" s="1"/>
  <c r="C31" i="13"/>
  <c r="B17" i="13"/>
  <c r="B15" i="13"/>
  <c r="B14" i="13"/>
  <c r="B16" i="13" s="1"/>
  <c r="C13" i="13"/>
  <c r="B13" i="13"/>
  <c r="B7" i="13"/>
  <c r="B137" i="13" s="1"/>
  <c r="B35" i="12"/>
  <c r="AC35" i="12" s="1"/>
  <c r="B34" i="12"/>
  <c r="AC34" i="12" s="1"/>
  <c r="X31" i="12"/>
  <c r="W31" i="12"/>
  <c r="K31" i="12"/>
  <c r="J31" i="12"/>
  <c r="I31" i="12"/>
  <c r="H31" i="12"/>
  <c r="G31" i="12"/>
  <c r="F31" i="12"/>
  <c r="E31" i="12"/>
  <c r="D31" i="12"/>
  <c r="AC31" i="12" s="1"/>
  <c r="X30" i="12"/>
  <c r="W30" i="12"/>
  <c r="X29" i="12"/>
  <c r="W29" i="12"/>
  <c r="X28" i="12"/>
  <c r="W28" i="12"/>
  <c r="X27" i="12"/>
  <c r="W27" i="12"/>
  <c r="B21" i="12"/>
  <c r="K14" i="12"/>
  <c r="J14" i="12"/>
  <c r="I14" i="12"/>
  <c r="H14" i="12"/>
  <c r="G14" i="12"/>
  <c r="F14" i="12"/>
  <c r="E14" i="12"/>
  <c r="D14" i="12"/>
  <c r="C14" i="12"/>
  <c r="B14" i="12"/>
  <c r="AC14" i="12" s="1"/>
  <c r="U39" i="11"/>
  <c r="T39" i="11"/>
  <c r="S39" i="11"/>
  <c r="R39" i="11"/>
  <c r="AA39" i="11" s="1"/>
  <c r="Q39" i="11"/>
  <c r="P39" i="11"/>
  <c r="N39" i="11"/>
  <c r="M39" i="11"/>
  <c r="L39" i="11"/>
  <c r="Y39" i="11" s="1"/>
  <c r="U38" i="11"/>
  <c r="T38" i="11"/>
  <c r="S38" i="11"/>
  <c r="R38" i="11"/>
  <c r="AA38" i="11" s="1"/>
  <c r="U37" i="11"/>
  <c r="T37" i="11"/>
  <c r="S37" i="11"/>
  <c r="R37" i="11"/>
  <c r="AA37" i="11" s="1"/>
  <c r="Q37" i="11"/>
  <c r="P37" i="11"/>
  <c r="O37" i="11"/>
  <c r="N37" i="11"/>
  <c r="Z37" i="11" s="1"/>
  <c r="M37" i="11"/>
  <c r="L37" i="11"/>
  <c r="Y37" i="11" s="1"/>
  <c r="L36" i="11"/>
  <c r="L35" i="11"/>
  <c r="U34" i="11"/>
  <c r="T34" i="11"/>
  <c r="S34" i="11"/>
  <c r="R34" i="11"/>
  <c r="AA34" i="11" s="1"/>
  <c r="Q34" i="11"/>
  <c r="P34" i="11"/>
  <c r="O34" i="11"/>
  <c r="N34" i="11"/>
  <c r="Z34" i="11" s="1"/>
  <c r="M34" i="11"/>
  <c r="L34" i="11"/>
  <c r="Y34" i="11" s="1"/>
  <c r="K29" i="11"/>
  <c r="J29" i="11"/>
  <c r="I29" i="11"/>
  <c r="H29" i="11"/>
  <c r="G29" i="11"/>
  <c r="F29" i="11"/>
  <c r="E29" i="11"/>
  <c r="D29" i="11"/>
  <c r="C29" i="11"/>
  <c r="B29" i="11"/>
  <c r="B27" i="11"/>
  <c r="U25" i="11"/>
  <c r="T25" i="11"/>
  <c r="S25" i="11"/>
  <c r="R25" i="11"/>
  <c r="AA25" i="11" s="1"/>
  <c r="Q25" i="11"/>
  <c r="P25" i="11"/>
  <c r="O25" i="11"/>
  <c r="N25" i="11"/>
  <c r="Z25" i="11" s="1"/>
  <c r="M25" i="11"/>
  <c r="L25" i="11"/>
  <c r="K24" i="11"/>
  <c r="J24" i="11"/>
  <c r="I24" i="11"/>
  <c r="H24" i="11"/>
  <c r="G24" i="11"/>
  <c r="F24" i="11"/>
  <c r="X24" i="11" s="1"/>
  <c r="E24" i="11"/>
  <c r="D24" i="11"/>
  <c r="C24" i="11"/>
  <c r="B24" i="11"/>
  <c r="W24" i="11" s="1"/>
  <c r="U23" i="11"/>
  <c r="T23" i="11"/>
  <c r="S23" i="11"/>
  <c r="R23" i="11"/>
  <c r="AA23" i="11" s="1"/>
  <c r="Q23" i="11"/>
  <c r="P23" i="11"/>
  <c r="O23" i="11"/>
  <c r="N23" i="11"/>
  <c r="Z23" i="11" s="1"/>
  <c r="M23" i="11"/>
  <c r="L23" i="11"/>
  <c r="K23" i="11"/>
  <c r="J23" i="11"/>
  <c r="Y23" i="11" s="1"/>
  <c r="I23" i="11"/>
  <c r="H23" i="11"/>
  <c r="G23" i="11"/>
  <c r="F23" i="11"/>
  <c r="X23" i="11" s="1"/>
  <c r="E23" i="11"/>
  <c r="D23" i="11"/>
  <c r="C23" i="11"/>
  <c r="B23" i="11"/>
  <c r="W23" i="11" s="1"/>
  <c r="U22" i="11"/>
  <c r="T22" i="11"/>
  <c r="S22" i="11"/>
  <c r="R22" i="11"/>
  <c r="AA22" i="11" s="1"/>
  <c r="F241" i="1" s="1"/>
  <c r="Q22" i="11"/>
  <c r="P22" i="11"/>
  <c r="O22" i="11"/>
  <c r="N22" i="11"/>
  <c r="Z22" i="11" s="1"/>
  <c r="E241" i="1" s="1"/>
  <c r="M22" i="11"/>
  <c r="L22" i="11"/>
  <c r="K22" i="11"/>
  <c r="J22" i="11"/>
  <c r="Y22" i="11" s="1"/>
  <c r="D241" i="1" s="1"/>
  <c r="I22" i="11"/>
  <c r="H22" i="11"/>
  <c r="G22" i="11"/>
  <c r="F22" i="11"/>
  <c r="X22" i="11" s="1"/>
  <c r="C241" i="1" s="1"/>
  <c r="E22" i="11"/>
  <c r="D22" i="11"/>
  <c r="C22" i="11"/>
  <c r="B22" i="11"/>
  <c r="W22" i="11" s="1"/>
  <c r="B241" i="1" s="1"/>
  <c r="U21" i="11"/>
  <c r="T21" i="11"/>
  <c r="S21" i="11"/>
  <c r="R21" i="11"/>
  <c r="AA21" i="11" s="1"/>
  <c r="F242" i="1" s="1"/>
  <c r="Q21" i="11"/>
  <c r="P21" i="11"/>
  <c r="O21" i="11"/>
  <c r="N21" i="11"/>
  <c r="Z21" i="11" s="1"/>
  <c r="E242" i="1" s="1"/>
  <c r="M21" i="11"/>
  <c r="L21" i="11"/>
  <c r="K21" i="11"/>
  <c r="J21" i="11"/>
  <c r="Y21" i="11" s="1"/>
  <c r="D242" i="1" s="1"/>
  <c r="I21" i="11"/>
  <c r="H21" i="11"/>
  <c r="G21" i="11"/>
  <c r="F21" i="11"/>
  <c r="X21" i="11" s="1"/>
  <c r="C242" i="1" s="1"/>
  <c r="E21" i="11"/>
  <c r="D21" i="11"/>
  <c r="C21" i="11"/>
  <c r="B21" i="11"/>
  <c r="W21" i="11" s="1"/>
  <c r="B242" i="1" s="1"/>
  <c r="K20" i="11"/>
  <c r="J20" i="11"/>
  <c r="I20" i="11"/>
  <c r="H20" i="11"/>
  <c r="G20" i="11"/>
  <c r="F20" i="11"/>
  <c r="X20" i="11" s="1"/>
  <c r="E20" i="11"/>
  <c r="D20" i="11"/>
  <c r="C20" i="11"/>
  <c r="B20" i="11"/>
  <c r="W20" i="11" s="1"/>
  <c r="K19" i="11"/>
  <c r="J19" i="11"/>
  <c r="I19" i="11"/>
  <c r="H19" i="11"/>
  <c r="G19" i="11"/>
  <c r="F19" i="11"/>
  <c r="X19" i="11" s="1"/>
  <c r="E19" i="11"/>
  <c r="D19" i="11"/>
  <c r="C19" i="11"/>
  <c r="B19" i="11"/>
  <c r="W19" i="11" s="1"/>
  <c r="U18" i="11"/>
  <c r="T18" i="11"/>
  <c r="S18" i="11"/>
  <c r="R18" i="11"/>
  <c r="AA18" i="11" s="1"/>
  <c r="K18" i="11"/>
  <c r="J18" i="11"/>
  <c r="I18" i="11"/>
  <c r="H18" i="11"/>
  <c r="G18" i="11"/>
  <c r="F18" i="11"/>
  <c r="X18" i="11" s="1"/>
  <c r="E18" i="11"/>
  <c r="D18" i="11"/>
  <c r="C18" i="11"/>
  <c r="B18" i="11"/>
  <c r="W18" i="11" s="1"/>
  <c r="K17" i="11"/>
  <c r="J17" i="11"/>
  <c r="I17" i="11"/>
  <c r="H17" i="11"/>
  <c r="G17" i="11"/>
  <c r="F17" i="11"/>
  <c r="X17" i="11" s="1"/>
  <c r="E17" i="11"/>
  <c r="D17" i="11"/>
  <c r="C17" i="11"/>
  <c r="B17" i="11"/>
  <c r="W17" i="11" s="1"/>
  <c r="K16" i="11"/>
  <c r="J16" i="11"/>
  <c r="I16" i="11"/>
  <c r="H16" i="11"/>
  <c r="G16" i="11"/>
  <c r="F16" i="11"/>
  <c r="E16" i="11"/>
  <c r="D16" i="11"/>
  <c r="C16" i="11"/>
  <c r="B16" i="11"/>
  <c r="K15" i="11"/>
  <c r="J15" i="11"/>
  <c r="I15" i="11"/>
  <c r="H15" i="11"/>
  <c r="G15" i="11"/>
  <c r="F15" i="11"/>
  <c r="E15" i="11"/>
  <c r="D15" i="11"/>
  <c r="C15" i="11"/>
  <c r="K14" i="11"/>
  <c r="J14" i="11"/>
  <c r="I14" i="11"/>
  <c r="H14" i="11"/>
  <c r="G14" i="11"/>
  <c r="F14" i="11"/>
  <c r="E14" i="11"/>
  <c r="D14" i="11"/>
  <c r="C14" i="11"/>
  <c r="K13" i="11"/>
  <c r="J13" i="11"/>
  <c r="I13" i="11"/>
  <c r="H13" i="11"/>
  <c r="G13" i="11"/>
  <c r="F13" i="11"/>
  <c r="E13" i="11"/>
  <c r="D13" i="11"/>
  <c r="C13" i="11"/>
  <c r="K12" i="11"/>
  <c r="J12" i="11"/>
  <c r="I12" i="11"/>
  <c r="H12" i="11"/>
  <c r="G12" i="11"/>
  <c r="F12" i="11"/>
  <c r="E12" i="11"/>
  <c r="D12" i="11"/>
  <c r="C12" i="11"/>
  <c r="K11" i="11"/>
  <c r="J11" i="11"/>
  <c r="I11" i="11"/>
  <c r="H11" i="11"/>
  <c r="G11" i="11"/>
  <c r="F11" i="11"/>
  <c r="E11" i="11"/>
  <c r="D11" i="11"/>
  <c r="C11" i="11"/>
  <c r="Z9" i="11"/>
  <c r="D232" i="1" s="1"/>
  <c r="D235" i="1" s="1"/>
  <c r="Y9" i="11"/>
  <c r="X9" i="11"/>
  <c r="W9" i="11"/>
  <c r="U9" i="11"/>
  <c r="T9" i="11"/>
  <c r="S9" i="11"/>
  <c r="R9" i="11"/>
  <c r="AA9" i="11" s="1"/>
  <c r="Q9" i="11"/>
  <c r="P9" i="11"/>
  <c r="O9" i="11"/>
  <c r="N9" i="11"/>
  <c r="M9" i="11"/>
  <c r="L9" i="11"/>
  <c r="K9" i="11"/>
  <c r="J9" i="11"/>
  <c r="I9" i="11"/>
  <c r="H9" i="11"/>
  <c r="G9" i="11"/>
  <c r="F9" i="11"/>
  <c r="E9" i="11"/>
  <c r="D9" i="11"/>
  <c r="C9" i="11"/>
  <c r="B9" i="11"/>
  <c r="K8" i="11"/>
  <c r="J8" i="11"/>
  <c r="I8" i="11"/>
  <c r="H8" i="11"/>
  <c r="G8" i="11"/>
  <c r="F8" i="11"/>
  <c r="X8" i="11" s="1"/>
  <c r="E8" i="11"/>
  <c r="D8" i="11"/>
  <c r="C8" i="11"/>
  <c r="B8" i="11"/>
  <c r="W8" i="11" s="1"/>
  <c r="K32" i="10"/>
  <c r="L32" i="10" s="1"/>
  <c r="M32" i="10" s="1"/>
  <c r="J32" i="10"/>
  <c r="I32" i="10"/>
  <c r="X32" i="10" s="1"/>
  <c r="H32" i="10"/>
  <c r="G32" i="10"/>
  <c r="F32" i="10"/>
  <c r="E32" i="10"/>
  <c r="W32" i="10" s="1"/>
  <c r="D32" i="10"/>
  <c r="C32" i="10"/>
  <c r="B32" i="10"/>
  <c r="K31" i="10"/>
  <c r="J31" i="10"/>
  <c r="I31" i="10"/>
  <c r="X31" i="10" s="1"/>
  <c r="H31" i="10"/>
  <c r="G31" i="10"/>
  <c r="F31" i="10"/>
  <c r="E31" i="10"/>
  <c r="W31" i="10" s="1"/>
  <c r="D31" i="10"/>
  <c r="C31" i="10"/>
  <c r="B31" i="10"/>
  <c r="K30" i="10"/>
  <c r="J30" i="10"/>
  <c r="J33" i="10" s="1"/>
  <c r="J18" i="12" s="1"/>
  <c r="I30" i="10"/>
  <c r="H30" i="10"/>
  <c r="H33" i="10" s="1"/>
  <c r="H18" i="12" s="1"/>
  <c r="G30" i="10"/>
  <c r="G33" i="10" s="1"/>
  <c r="G18" i="12" s="1"/>
  <c r="F30" i="10"/>
  <c r="F33" i="10" s="1"/>
  <c r="F18" i="12" s="1"/>
  <c r="E30" i="10"/>
  <c r="D30" i="10"/>
  <c r="D33" i="10" s="1"/>
  <c r="D18" i="12" s="1"/>
  <c r="C30" i="10"/>
  <c r="C33" i="10" s="1"/>
  <c r="C18" i="12" s="1"/>
  <c r="B30" i="10"/>
  <c r="B33" i="10" s="1"/>
  <c r="B18" i="12" s="1"/>
  <c r="K27" i="10"/>
  <c r="L27" i="10" s="1"/>
  <c r="M27" i="10" s="1"/>
  <c r="J27" i="10"/>
  <c r="I27" i="10"/>
  <c r="X27" i="10" s="1"/>
  <c r="H27" i="10"/>
  <c r="G27" i="10"/>
  <c r="F27" i="10"/>
  <c r="E27" i="10"/>
  <c r="W27" i="10" s="1"/>
  <c r="D27" i="10"/>
  <c r="C27" i="10"/>
  <c r="B27" i="10"/>
  <c r="K26" i="10"/>
  <c r="L26" i="10" s="1"/>
  <c r="M26" i="10" s="1"/>
  <c r="J26" i="10"/>
  <c r="I26" i="10"/>
  <c r="X26" i="10" s="1"/>
  <c r="H26" i="10"/>
  <c r="G26" i="10"/>
  <c r="F26" i="10"/>
  <c r="E26" i="10"/>
  <c r="W26" i="10" s="1"/>
  <c r="D26" i="10"/>
  <c r="C26" i="10"/>
  <c r="B26" i="10"/>
  <c r="K25" i="10"/>
  <c r="L25" i="10" s="1"/>
  <c r="J25" i="10"/>
  <c r="I25" i="10"/>
  <c r="X25" i="10" s="1"/>
  <c r="H25" i="10"/>
  <c r="G25" i="10"/>
  <c r="F25" i="10"/>
  <c r="E25" i="10"/>
  <c r="W25" i="10" s="1"/>
  <c r="D25" i="10"/>
  <c r="C25" i="10"/>
  <c r="B25" i="10"/>
  <c r="U23" i="10"/>
  <c r="AA23" i="10" s="1"/>
  <c r="T23" i="10"/>
  <c r="S23" i="10"/>
  <c r="R23" i="10"/>
  <c r="Q23" i="10"/>
  <c r="Z23" i="10" s="1"/>
  <c r="P23" i="10"/>
  <c r="O23" i="10"/>
  <c r="N23" i="10"/>
  <c r="M23" i="10"/>
  <c r="Y23" i="10" s="1"/>
  <c r="L23" i="10"/>
  <c r="K23" i="10"/>
  <c r="J23" i="10"/>
  <c r="L38" i="7" s="1"/>
  <c r="I23" i="10"/>
  <c r="H23" i="10"/>
  <c r="J38" i="7" s="1"/>
  <c r="G23" i="10"/>
  <c r="I38" i="7" s="1"/>
  <c r="F23" i="10"/>
  <c r="H38" i="7" s="1"/>
  <c r="E23" i="10"/>
  <c r="D23" i="10"/>
  <c r="F38" i="7" s="1"/>
  <c r="C23" i="10"/>
  <c r="E38" i="7" s="1"/>
  <c r="B23" i="10"/>
  <c r="D38" i="7" s="1"/>
  <c r="K22" i="10"/>
  <c r="J22" i="10"/>
  <c r="I22" i="10"/>
  <c r="X22" i="10" s="1"/>
  <c r="H22" i="10"/>
  <c r="G22" i="10"/>
  <c r="F22" i="10"/>
  <c r="E22" i="10"/>
  <c r="W22" i="10" s="1"/>
  <c r="D22" i="10"/>
  <c r="C22" i="10"/>
  <c r="B22" i="10"/>
  <c r="K21" i="10"/>
  <c r="K24" i="10" s="1"/>
  <c r="K28" i="10" s="1"/>
  <c r="J21" i="10"/>
  <c r="J24" i="10" s="1"/>
  <c r="J28" i="10" s="1"/>
  <c r="I21" i="10"/>
  <c r="H21" i="10"/>
  <c r="H24" i="10" s="1"/>
  <c r="H28" i="10" s="1"/>
  <c r="G21" i="10"/>
  <c r="G24" i="10" s="1"/>
  <c r="G28" i="10" s="1"/>
  <c r="F21" i="10"/>
  <c r="F24" i="10" s="1"/>
  <c r="F28" i="10" s="1"/>
  <c r="E21" i="10"/>
  <c r="D21" i="10"/>
  <c r="D24" i="10" s="1"/>
  <c r="D28" i="10" s="1"/>
  <c r="C21" i="10"/>
  <c r="C24" i="10" s="1"/>
  <c r="C28" i="10" s="1"/>
  <c r="B21" i="10"/>
  <c r="B24" i="10" s="1"/>
  <c r="B28" i="10" s="1"/>
  <c r="K18" i="10"/>
  <c r="J18" i="10"/>
  <c r="I18" i="10"/>
  <c r="X18" i="10" s="1"/>
  <c r="H18" i="10"/>
  <c r="G18" i="10"/>
  <c r="F18" i="10"/>
  <c r="E18" i="10"/>
  <c r="W18" i="10" s="1"/>
  <c r="D18" i="10"/>
  <c r="C18" i="10"/>
  <c r="B18" i="10"/>
  <c r="K17" i="10"/>
  <c r="L17" i="10" s="1"/>
  <c r="M17" i="10" s="1"/>
  <c r="J17" i="10"/>
  <c r="I17" i="10"/>
  <c r="X17" i="10" s="1"/>
  <c r="H17" i="10"/>
  <c r="G17" i="10"/>
  <c r="F17" i="10"/>
  <c r="E17" i="10"/>
  <c r="W17" i="10" s="1"/>
  <c r="D17" i="10"/>
  <c r="C17" i="10"/>
  <c r="B17" i="10"/>
  <c r="K16" i="10"/>
  <c r="L16" i="10" s="1"/>
  <c r="J16" i="10"/>
  <c r="I16" i="10"/>
  <c r="X16" i="10" s="1"/>
  <c r="H16" i="10"/>
  <c r="G16" i="10"/>
  <c r="F16" i="10"/>
  <c r="E16" i="10"/>
  <c r="W16" i="10" s="1"/>
  <c r="D16" i="10"/>
  <c r="C16" i="10"/>
  <c r="B16" i="10"/>
  <c r="K15" i="10"/>
  <c r="L15" i="10" s="1"/>
  <c r="M15" i="10" s="1"/>
  <c r="J15" i="10"/>
  <c r="I15" i="10"/>
  <c r="X15" i="10" s="1"/>
  <c r="H15" i="10"/>
  <c r="G15" i="10"/>
  <c r="F15" i="10"/>
  <c r="E15" i="10"/>
  <c r="W15" i="10" s="1"/>
  <c r="D15" i="10"/>
  <c r="C15" i="10"/>
  <c r="B15" i="10"/>
  <c r="K14" i="10"/>
  <c r="L14" i="10" s="1"/>
  <c r="M14" i="10" s="1"/>
  <c r="J14" i="10"/>
  <c r="I14" i="10"/>
  <c r="X14" i="10" s="1"/>
  <c r="H14" i="10"/>
  <c r="G14" i="10"/>
  <c r="F14" i="10"/>
  <c r="E14" i="10"/>
  <c r="W14" i="10" s="1"/>
  <c r="D14" i="10"/>
  <c r="C14" i="10"/>
  <c r="B14" i="10"/>
  <c r="X13" i="10"/>
  <c r="W13" i="10"/>
  <c r="Y53" i="7" s="1"/>
  <c r="K13" i="10"/>
  <c r="J13" i="10"/>
  <c r="I13" i="10"/>
  <c r="H13" i="10"/>
  <c r="G13" i="10"/>
  <c r="F13" i="10"/>
  <c r="E13" i="10"/>
  <c r="D13" i="10"/>
  <c r="C13" i="10"/>
  <c r="B13" i="10"/>
  <c r="K11" i="10"/>
  <c r="J11" i="10"/>
  <c r="I11" i="10"/>
  <c r="X11" i="10" s="1"/>
  <c r="H11" i="10"/>
  <c r="G11" i="10"/>
  <c r="F11" i="10"/>
  <c r="E11" i="10"/>
  <c r="W11" i="10" s="1"/>
  <c r="D11" i="10"/>
  <c r="C11" i="10"/>
  <c r="B11" i="10"/>
  <c r="K10" i="10"/>
  <c r="J10" i="10"/>
  <c r="I10" i="10"/>
  <c r="X10" i="10" s="1"/>
  <c r="H10" i="10"/>
  <c r="G10" i="10"/>
  <c r="F10" i="10"/>
  <c r="E10" i="10"/>
  <c r="W10" i="10" s="1"/>
  <c r="D10" i="10"/>
  <c r="C10" i="10"/>
  <c r="B10" i="10"/>
  <c r="K9" i="10"/>
  <c r="J9" i="10"/>
  <c r="I9" i="10"/>
  <c r="X9" i="10" s="1"/>
  <c r="H9" i="10"/>
  <c r="G9" i="10"/>
  <c r="F9" i="10"/>
  <c r="E9" i="10"/>
  <c r="W9" i="10" s="1"/>
  <c r="D9" i="10"/>
  <c r="C9" i="10"/>
  <c r="B9" i="10"/>
  <c r="K8" i="10"/>
  <c r="L8" i="10" s="1"/>
  <c r="M8" i="10" s="1"/>
  <c r="J8" i="10"/>
  <c r="I8" i="10"/>
  <c r="X8" i="10" s="1"/>
  <c r="H8" i="10"/>
  <c r="G8" i="10"/>
  <c r="F8" i="10"/>
  <c r="E8" i="10"/>
  <c r="W8" i="10" s="1"/>
  <c r="D8" i="10"/>
  <c r="C8" i="10"/>
  <c r="B8" i="10"/>
  <c r="K7" i="10"/>
  <c r="K12" i="10" s="1"/>
  <c r="J7" i="10"/>
  <c r="I7" i="10"/>
  <c r="H7" i="10"/>
  <c r="G7" i="10"/>
  <c r="F7" i="10"/>
  <c r="E7" i="10"/>
  <c r="D7" i="10"/>
  <c r="C7" i="10"/>
  <c r="B7" i="10"/>
  <c r="X71" i="9"/>
  <c r="X76" i="9" s="1"/>
  <c r="W71" i="9"/>
  <c r="W76" i="9" s="1"/>
  <c r="X70" i="9"/>
  <c r="X75" i="9" s="1"/>
  <c r="W70" i="9"/>
  <c r="W75" i="9" s="1"/>
  <c r="X69" i="9"/>
  <c r="X74" i="9" s="1"/>
  <c r="W69" i="9"/>
  <c r="W74" i="9" s="1"/>
  <c r="X68" i="9"/>
  <c r="W68" i="9"/>
  <c r="X67" i="9"/>
  <c r="W67" i="9"/>
  <c r="X66" i="9"/>
  <c r="W66" i="9"/>
  <c r="I66" i="9"/>
  <c r="H66" i="9"/>
  <c r="G66" i="9"/>
  <c r="F66" i="9"/>
  <c r="E66" i="9"/>
  <c r="D66" i="9"/>
  <c r="X65" i="9"/>
  <c r="W65" i="9"/>
  <c r="I65" i="9"/>
  <c r="H65" i="9"/>
  <c r="G65" i="9"/>
  <c r="F65" i="9"/>
  <c r="E65" i="9"/>
  <c r="D65" i="9"/>
  <c r="X64" i="9"/>
  <c r="W64" i="9"/>
  <c r="I64" i="9"/>
  <c r="H64" i="9"/>
  <c r="G64" i="9"/>
  <c r="F64" i="9"/>
  <c r="E64" i="9"/>
  <c r="D64" i="9"/>
  <c r="X63" i="9"/>
  <c r="W63" i="9"/>
  <c r="I63" i="9"/>
  <c r="H63" i="9"/>
  <c r="G63" i="9"/>
  <c r="F63" i="9"/>
  <c r="E63" i="9"/>
  <c r="D63" i="9"/>
  <c r="X62" i="9"/>
  <c r="W62" i="9"/>
  <c r="I62" i="9"/>
  <c r="H62" i="9"/>
  <c r="G62" i="9"/>
  <c r="F62" i="9"/>
  <c r="E62" i="9"/>
  <c r="D62" i="9"/>
  <c r="X61" i="9"/>
  <c r="W61" i="9"/>
  <c r="I61" i="9"/>
  <c r="H61" i="9"/>
  <c r="G61" i="9"/>
  <c r="F61" i="9"/>
  <c r="E61" i="9"/>
  <c r="D61" i="9"/>
  <c r="X60" i="9"/>
  <c r="W60" i="9"/>
  <c r="I60" i="9"/>
  <c r="H60" i="9"/>
  <c r="G60" i="9"/>
  <c r="F60" i="9"/>
  <c r="E60" i="9"/>
  <c r="D60" i="9"/>
  <c r="X59" i="9"/>
  <c r="W59" i="9"/>
  <c r="I59" i="9"/>
  <c r="H59" i="9"/>
  <c r="G59" i="9"/>
  <c r="F59" i="9"/>
  <c r="E59" i="9"/>
  <c r="D59" i="9"/>
  <c r="X58" i="9"/>
  <c r="W58" i="9"/>
  <c r="I58" i="9"/>
  <c r="H58" i="9"/>
  <c r="G58" i="9"/>
  <c r="F58" i="9"/>
  <c r="E58" i="9"/>
  <c r="D58" i="9"/>
  <c r="U44" i="9"/>
  <c r="T44" i="9"/>
  <c r="S44" i="9"/>
  <c r="R44" i="9"/>
  <c r="AA44" i="9" s="1"/>
  <c r="Q44" i="9"/>
  <c r="P44" i="9"/>
  <c r="O44" i="9"/>
  <c r="N44" i="9"/>
  <c r="Z44" i="9" s="1"/>
  <c r="M44" i="9"/>
  <c r="L44" i="9"/>
  <c r="K44" i="9"/>
  <c r="J44" i="9"/>
  <c r="Y44" i="9" s="1"/>
  <c r="I44" i="9"/>
  <c r="G44" i="9"/>
  <c r="F44" i="9"/>
  <c r="U43" i="9"/>
  <c r="T43" i="9"/>
  <c r="S43" i="9"/>
  <c r="R43" i="9"/>
  <c r="AA43" i="9" s="1"/>
  <c r="Q43" i="9"/>
  <c r="P43" i="9"/>
  <c r="O43" i="9"/>
  <c r="N43" i="9"/>
  <c r="Z43" i="9" s="1"/>
  <c r="M43" i="9"/>
  <c r="L43" i="9"/>
  <c r="K43" i="9"/>
  <c r="J43" i="9"/>
  <c r="Y43" i="9" s="1"/>
  <c r="I43" i="9"/>
  <c r="G43" i="9"/>
  <c r="F43" i="9"/>
  <c r="U42" i="9"/>
  <c r="T42" i="9"/>
  <c r="S42" i="9"/>
  <c r="R42" i="9"/>
  <c r="AA42" i="9" s="1"/>
  <c r="Q42" i="9"/>
  <c r="P42" i="9"/>
  <c r="O42" i="9"/>
  <c r="N42" i="9"/>
  <c r="Z42" i="9" s="1"/>
  <c r="M42" i="9"/>
  <c r="L42" i="9"/>
  <c r="K42" i="9"/>
  <c r="J42" i="9"/>
  <c r="Y42" i="9" s="1"/>
  <c r="I42" i="9"/>
  <c r="G42" i="9"/>
  <c r="F42" i="9"/>
  <c r="U41" i="9"/>
  <c r="T41" i="9"/>
  <c r="S41" i="9"/>
  <c r="R41" i="9"/>
  <c r="AA41" i="9" s="1"/>
  <c r="Q41" i="9"/>
  <c r="P41" i="9"/>
  <c r="O41" i="9"/>
  <c r="N41" i="9"/>
  <c r="Z41" i="9" s="1"/>
  <c r="M41" i="9"/>
  <c r="L41" i="9"/>
  <c r="K41" i="9"/>
  <c r="J41" i="9"/>
  <c r="Y41" i="9" s="1"/>
  <c r="I41" i="9"/>
  <c r="G41" i="9"/>
  <c r="F41" i="9"/>
  <c r="U40" i="9"/>
  <c r="T40" i="9"/>
  <c r="S40" i="9"/>
  <c r="R40" i="9"/>
  <c r="AA40" i="9" s="1"/>
  <c r="Q40" i="9"/>
  <c r="P40" i="9"/>
  <c r="O40" i="9"/>
  <c r="N40" i="9"/>
  <c r="Z40" i="9" s="1"/>
  <c r="M40" i="9"/>
  <c r="L40" i="9"/>
  <c r="K40" i="9"/>
  <c r="J40" i="9"/>
  <c r="Y40" i="9" s="1"/>
  <c r="I40" i="9"/>
  <c r="G40" i="9"/>
  <c r="F40" i="9"/>
  <c r="K35" i="9"/>
  <c r="J35" i="9"/>
  <c r="I35" i="9"/>
  <c r="H35" i="9"/>
  <c r="G35" i="9"/>
  <c r="F35" i="9"/>
  <c r="E35" i="9"/>
  <c r="D35" i="9"/>
  <c r="C35" i="9"/>
  <c r="B35" i="9"/>
  <c r="K34" i="9"/>
  <c r="J34" i="9"/>
  <c r="I34" i="9"/>
  <c r="H34" i="9"/>
  <c r="G34" i="9"/>
  <c r="F34" i="9"/>
  <c r="E34" i="9"/>
  <c r="D34" i="9"/>
  <c r="C34" i="9"/>
  <c r="B34" i="9"/>
  <c r="X31" i="9"/>
  <c r="W31" i="9"/>
  <c r="K31" i="9"/>
  <c r="J31" i="9"/>
  <c r="I31" i="9"/>
  <c r="H31" i="9"/>
  <c r="G31" i="9"/>
  <c r="F31" i="9"/>
  <c r="E31" i="9"/>
  <c r="D31" i="9"/>
  <c r="C31" i="9"/>
  <c r="B31" i="9"/>
  <c r="K30" i="9"/>
  <c r="J30" i="9"/>
  <c r="I30" i="9"/>
  <c r="H30" i="9"/>
  <c r="G30" i="9"/>
  <c r="F30" i="9"/>
  <c r="X30" i="9" s="1"/>
  <c r="E30" i="9"/>
  <c r="D30" i="9"/>
  <c r="C30" i="9"/>
  <c r="B30" i="9"/>
  <c r="W30" i="9" s="1"/>
  <c r="K21" i="9"/>
  <c r="J21" i="9"/>
  <c r="I21" i="9"/>
  <c r="H21" i="9"/>
  <c r="G21" i="9"/>
  <c r="F21" i="9"/>
  <c r="X21" i="9" s="1"/>
  <c r="E21" i="9"/>
  <c r="D21" i="9"/>
  <c r="C21" i="9"/>
  <c r="B21" i="9"/>
  <c r="W21" i="9" s="1"/>
  <c r="U18" i="9"/>
  <c r="T18" i="9"/>
  <c r="S18" i="9"/>
  <c r="R18" i="9"/>
  <c r="AA18" i="9" s="1"/>
  <c r="Q18" i="9"/>
  <c r="P18" i="9"/>
  <c r="O18" i="9"/>
  <c r="N18" i="9"/>
  <c r="Z18" i="9" s="1"/>
  <c r="M18" i="9"/>
  <c r="L18" i="9"/>
  <c r="K18" i="9"/>
  <c r="J18" i="9"/>
  <c r="Y18" i="9" s="1"/>
  <c r="I18" i="9"/>
  <c r="H18" i="9"/>
  <c r="G18" i="9"/>
  <c r="F18" i="9"/>
  <c r="X18" i="9" s="1"/>
  <c r="E18" i="9"/>
  <c r="D18" i="9"/>
  <c r="C18" i="9"/>
  <c r="B18" i="9"/>
  <c r="W18" i="9" s="1"/>
  <c r="L17" i="9"/>
  <c r="K17" i="9"/>
  <c r="J17" i="9"/>
  <c r="I17" i="9"/>
  <c r="H17" i="9"/>
  <c r="G17" i="9"/>
  <c r="F17" i="9"/>
  <c r="X17" i="9" s="1"/>
  <c r="E17" i="9"/>
  <c r="D17" i="9"/>
  <c r="C17" i="9"/>
  <c r="B17" i="9"/>
  <c r="W17" i="9" s="1"/>
  <c r="K16" i="9"/>
  <c r="K19" i="9" s="1"/>
  <c r="J16" i="9"/>
  <c r="I16" i="9"/>
  <c r="I19" i="9" s="1"/>
  <c r="H16" i="9"/>
  <c r="H19" i="9" s="1"/>
  <c r="G16" i="9"/>
  <c r="G19" i="9" s="1"/>
  <c r="F16" i="9"/>
  <c r="E16" i="9"/>
  <c r="E19" i="9" s="1"/>
  <c r="D16" i="9"/>
  <c r="D19" i="9" s="1"/>
  <c r="C16" i="9"/>
  <c r="C19" i="9" s="1"/>
  <c r="B16" i="9"/>
  <c r="AA12" i="9"/>
  <c r="Z12" i="9"/>
  <c r="K12" i="9"/>
  <c r="J12" i="9"/>
  <c r="Y12" i="9" s="1"/>
  <c r="I12" i="9"/>
  <c r="H12" i="9"/>
  <c r="G12" i="9"/>
  <c r="F12" i="9"/>
  <c r="X12" i="9" s="1"/>
  <c r="E12" i="9"/>
  <c r="D12" i="9"/>
  <c r="C12" i="9"/>
  <c r="B12" i="9"/>
  <c r="W12" i="9" s="1"/>
  <c r="U11" i="9"/>
  <c r="T11" i="9"/>
  <c r="S11" i="9"/>
  <c r="R11" i="9"/>
  <c r="AA11" i="9" s="1"/>
  <c r="Q11" i="9"/>
  <c r="P11" i="9"/>
  <c r="O11" i="9"/>
  <c r="N11" i="9"/>
  <c r="Z11" i="9" s="1"/>
  <c r="M11" i="9"/>
  <c r="L11" i="9"/>
  <c r="K11" i="9"/>
  <c r="L36" i="7" s="1"/>
  <c r="J11" i="9"/>
  <c r="I11" i="9"/>
  <c r="J36" i="7" s="1"/>
  <c r="H11" i="9"/>
  <c r="I36" i="7" s="1"/>
  <c r="G11" i="9"/>
  <c r="H36" i="7" s="1"/>
  <c r="F11" i="9"/>
  <c r="E11" i="9"/>
  <c r="F36" i="7" s="1"/>
  <c r="D11" i="9"/>
  <c r="E36" i="7" s="1"/>
  <c r="C11" i="9"/>
  <c r="D36" i="7" s="1"/>
  <c r="B11" i="9"/>
  <c r="U10" i="9"/>
  <c r="U46" i="9" s="1"/>
  <c r="T10" i="9"/>
  <c r="T46" i="9" s="1"/>
  <c r="S10" i="9"/>
  <c r="S46" i="9" s="1"/>
  <c r="R10" i="9"/>
  <c r="Q10" i="9"/>
  <c r="Q46" i="9" s="1"/>
  <c r="P10" i="9"/>
  <c r="P46" i="9" s="1"/>
  <c r="O10" i="9"/>
  <c r="O46" i="9" s="1"/>
  <c r="N10" i="9"/>
  <c r="M10" i="9"/>
  <c r="M46" i="9" s="1"/>
  <c r="C100" i="6" s="1"/>
  <c r="L10" i="9"/>
  <c r="L46" i="9" s="1"/>
  <c r="B100" i="6" s="1"/>
  <c r="K10" i="9"/>
  <c r="J10" i="9"/>
  <c r="I10" i="9"/>
  <c r="H10" i="9"/>
  <c r="G10" i="9"/>
  <c r="F10" i="9"/>
  <c r="E10" i="9"/>
  <c r="D10" i="9"/>
  <c r="C10" i="9"/>
  <c r="D35" i="7" s="1"/>
  <c r="B10" i="9"/>
  <c r="K8" i="9"/>
  <c r="J8" i="9"/>
  <c r="I8" i="9"/>
  <c r="H8" i="9"/>
  <c r="G8" i="9"/>
  <c r="F8" i="9"/>
  <c r="E8" i="9"/>
  <c r="D8" i="9"/>
  <c r="C8" i="9"/>
  <c r="B8" i="9"/>
  <c r="K7" i="9"/>
  <c r="J7" i="9"/>
  <c r="I7" i="9"/>
  <c r="H7" i="9"/>
  <c r="G7" i="9"/>
  <c r="F7" i="9"/>
  <c r="E7" i="9"/>
  <c r="D7" i="9"/>
  <c r="C7" i="9"/>
  <c r="B7" i="9"/>
  <c r="Z85" i="7"/>
  <c r="L84" i="7"/>
  <c r="AB83" i="7"/>
  <c r="Z83" i="7"/>
  <c r="P83" i="7"/>
  <c r="AB82" i="7"/>
  <c r="R82" i="7"/>
  <c r="Q38" i="11" s="1"/>
  <c r="Q18" i="11" s="1"/>
  <c r="Q82" i="7"/>
  <c r="P38" i="11" s="1"/>
  <c r="P18" i="11" s="1"/>
  <c r="P82" i="7"/>
  <c r="O38" i="11" s="1"/>
  <c r="O82" i="7"/>
  <c r="N82" i="7"/>
  <c r="M38" i="11" s="1"/>
  <c r="M18" i="11" s="1"/>
  <c r="M82" i="7"/>
  <c r="V80" i="7"/>
  <c r="V16" i="7" s="1"/>
  <c r="U80" i="7"/>
  <c r="U16" i="7" s="1"/>
  <c r="T80" i="7"/>
  <c r="T16" i="7" s="1"/>
  <c r="S80" i="7"/>
  <c r="S16" i="7" s="1"/>
  <c r="R80" i="7"/>
  <c r="Q80" i="7"/>
  <c r="Q16" i="7" s="1"/>
  <c r="P80" i="7"/>
  <c r="P16" i="7" s="1"/>
  <c r="O80" i="7"/>
  <c r="O16" i="7" s="1"/>
  <c r="N80" i="7"/>
  <c r="M80" i="7"/>
  <c r="AB76" i="7"/>
  <c r="AA76" i="7"/>
  <c r="AB71" i="7"/>
  <c r="AA71" i="7"/>
  <c r="L71" i="7"/>
  <c r="K71" i="7"/>
  <c r="Z71" i="7" s="1"/>
  <c r="J71" i="7"/>
  <c r="H71" i="7"/>
  <c r="G71" i="7"/>
  <c r="AB70" i="7"/>
  <c r="AA70" i="7"/>
  <c r="L70" i="7"/>
  <c r="K70" i="7"/>
  <c r="Z70" i="7" s="1"/>
  <c r="J70" i="7"/>
  <c r="H70" i="7"/>
  <c r="G70" i="7"/>
  <c r="AB69" i="7"/>
  <c r="AA69" i="7"/>
  <c r="L69" i="7"/>
  <c r="K69" i="7"/>
  <c r="Z69" i="7" s="1"/>
  <c r="J69" i="7"/>
  <c r="H69" i="7"/>
  <c r="G69" i="7"/>
  <c r="AB68" i="7"/>
  <c r="AA68" i="7"/>
  <c r="L68" i="7"/>
  <c r="K68" i="7"/>
  <c r="Z68" i="7" s="1"/>
  <c r="J68" i="7"/>
  <c r="H68" i="7"/>
  <c r="G68" i="7"/>
  <c r="AB67" i="7"/>
  <c r="AA67" i="7"/>
  <c r="L67" i="7"/>
  <c r="K67" i="7"/>
  <c r="Z67" i="7" s="1"/>
  <c r="J67" i="7"/>
  <c r="H67" i="7"/>
  <c r="G67" i="7"/>
  <c r="AB63" i="7"/>
  <c r="AA63" i="7"/>
  <c r="Z63" i="7"/>
  <c r="AB62" i="7"/>
  <c r="AA62" i="7"/>
  <c r="Z62" i="7"/>
  <c r="AB61" i="7"/>
  <c r="AA61" i="7"/>
  <c r="Z61" i="7"/>
  <c r="L61" i="7"/>
  <c r="K61" i="7"/>
  <c r="J61" i="7"/>
  <c r="Y61" i="7" s="1"/>
  <c r="I61" i="7"/>
  <c r="H61" i="7"/>
  <c r="G61" i="7"/>
  <c r="F61" i="7"/>
  <c r="X61" i="7" s="1"/>
  <c r="E61" i="7"/>
  <c r="D61" i="7"/>
  <c r="C61" i="7"/>
  <c r="AB60" i="7"/>
  <c r="AA60" i="7"/>
  <c r="L60" i="7"/>
  <c r="K60" i="7"/>
  <c r="Z60" i="7" s="1"/>
  <c r="J60" i="7"/>
  <c r="I60" i="7"/>
  <c r="H60" i="7"/>
  <c r="G60" i="7"/>
  <c r="Y60" i="7" s="1"/>
  <c r="F60" i="7"/>
  <c r="E60" i="7"/>
  <c r="D60" i="7"/>
  <c r="C60" i="7"/>
  <c r="X60" i="7" s="1"/>
  <c r="AB59" i="7"/>
  <c r="AA59" i="7"/>
  <c r="L59" i="7"/>
  <c r="K59" i="7"/>
  <c r="Z59" i="7" s="1"/>
  <c r="J59" i="7"/>
  <c r="I59" i="7"/>
  <c r="H59" i="7"/>
  <c r="G59" i="7"/>
  <c r="Y59" i="7" s="1"/>
  <c r="F59" i="7"/>
  <c r="E59" i="7"/>
  <c r="D59" i="7"/>
  <c r="C59" i="7"/>
  <c r="X59" i="7" s="1"/>
  <c r="X58" i="7"/>
  <c r="L58" i="7"/>
  <c r="K58" i="7"/>
  <c r="J58" i="7"/>
  <c r="I58" i="7"/>
  <c r="Y58" i="7" s="1"/>
  <c r="H58" i="7"/>
  <c r="G58" i="7"/>
  <c r="F58" i="7"/>
  <c r="E58" i="7"/>
  <c r="D58" i="7"/>
  <c r="C58" i="7"/>
  <c r="AB57" i="7"/>
  <c r="AA57" i="7"/>
  <c r="L57" i="7"/>
  <c r="K57" i="7"/>
  <c r="Z57" i="7" s="1"/>
  <c r="J57" i="7"/>
  <c r="I57" i="7"/>
  <c r="H57" i="7"/>
  <c r="G57" i="7"/>
  <c r="Y57" i="7" s="1"/>
  <c r="F57" i="7"/>
  <c r="E57" i="7"/>
  <c r="D57" i="7"/>
  <c r="C57" i="7"/>
  <c r="X57" i="7" s="1"/>
  <c r="AB56" i="7"/>
  <c r="AA56" i="7"/>
  <c r="L56" i="7"/>
  <c r="K56" i="7"/>
  <c r="Z56" i="7" s="1"/>
  <c r="J56" i="7"/>
  <c r="I56" i="7"/>
  <c r="H56" i="7"/>
  <c r="G56" i="7"/>
  <c r="Y56" i="7" s="1"/>
  <c r="F56" i="7"/>
  <c r="E56" i="7"/>
  <c r="D56" i="7"/>
  <c r="C56" i="7"/>
  <c r="X56" i="7" s="1"/>
  <c r="AB55" i="7"/>
  <c r="AA55" i="7"/>
  <c r="Z55" i="7"/>
  <c r="AB54" i="7"/>
  <c r="AA54" i="7"/>
  <c r="Z54" i="7"/>
  <c r="L53" i="7"/>
  <c r="K53" i="7"/>
  <c r="J53" i="7"/>
  <c r="I53" i="7"/>
  <c r="H53" i="7"/>
  <c r="G53" i="7"/>
  <c r="F53" i="7"/>
  <c r="E53" i="7"/>
  <c r="D53" i="7"/>
  <c r="L42" i="7"/>
  <c r="K42" i="7"/>
  <c r="J42" i="7"/>
  <c r="I42" i="7"/>
  <c r="H42" i="7"/>
  <c r="L43" i="7" s="1"/>
  <c r="M43" i="7" s="1"/>
  <c r="N43" i="7" s="1"/>
  <c r="O43" i="7" s="1"/>
  <c r="P43" i="7" s="1"/>
  <c r="Q43" i="7" s="1"/>
  <c r="R43" i="7" s="1"/>
  <c r="S43" i="7" s="1"/>
  <c r="T43" i="7" s="1"/>
  <c r="U43" i="7" s="1"/>
  <c r="V43" i="7" s="1"/>
  <c r="G42" i="7"/>
  <c r="Y42" i="7" s="1"/>
  <c r="F42" i="7"/>
  <c r="E42" i="7"/>
  <c r="D42" i="7"/>
  <c r="C42" i="7"/>
  <c r="X42" i="7" s="1"/>
  <c r="L41" i="7"/>
  <c r="K41" i="7"/>
  <c r="J41" i="7"/>
  <c r="I41" i="7"/>
  <c r="H41" i="7"/>
  <c r="G41" i="7"/>
  <c r="Y41" i="7" s="1"/>
  <c r="F41" i="7"/>
  <c r="E41" i="7"/>
  <c r="D41" i="7"/>
  <c r="C41" i="7"/>
  <c r="X41" i="7" s="1"/>
  <c r="AB39" i="7"/>
  <c r="AA39" i="7"/>
  <c r="L39" i="7"/>
  <c r="K39" i="7"/>
  <c r="Z39" i="7" s="1"/>
  <c r="J39" i="7"/>
  <c r="I39" i="7"/>
  <c r="H39" i="7"/>
  <c r="G39" i="7"/>
  <c r="Y39" i="7" s="1"/>
  <c r="F39" i="7"/>
  <c r="E39" i="7"/>
  <c r="D39" i="7"/>
  <c r="C39" i="7"/>
  <c r="X39" i="7" s="1"/>
  <c r="AB36" i="7"/>
  <c r="AA36" i="7"/>
  <c r="AB35" i="7"/>
  <c r="AA35" i="7"/>
  <c r="AB31" i="7"/>
  <c r="AA31" i="7"/>
  <c r="L31" i="7"/>
  <c r="K31" i="7"/>
  <c r="Z31" i="7" s="1"/>
  <c r="J31" i="7"/>
  <c r="I31" i="7"/>
  <c r="H31" i="7"/>
  <c r="G31" i="7"/>
  <c r="Y31" i="7" s="1"/>
  <c r="F31" i="7"/>
  <c r="E31" i="7"/>
  <c r="D31" i="7"/>
  <c r="C31" i="7"/>
  <c r="X31" i="7" s="1"/>
  <c r="AB30" i="7"/>
  <c r="AA30" i="7"/>
  <c r="L30" i="7"/>
  <c r="K30" i="7"/>
  <c r="Z30" i="7" s="1"/>
  <c r="J30" i="7"/>
  <c r="I30" i="7"/>
  <c r="H30" i="7"/>
  <c r="G30" i="7"/>
  <c r="Y30" i="7" s="1"/>
  <c r="F30" i="7"/>
  <c r="E30" i="7"/>
  <c r="D30" i="7"/>
  <c r="C30" i="7"/>
  <c r="X30" i="7" s="1"/>
  <c r="V24" i="7"/>
  <c r="U24" i="7"/>
  <c r="T24" i="7"/>
  <c r="S24" i="7"/>
  <c r="R24" i="7"/>
  <c r="Q24" i="7"/>
  <c r="P24" i="7"/>
  <c r="O24" i="7"/>
  <c r="N24" i="7"/>
  <c r="M24" i="7"/>
  <c r="AB23" i="7"/>
  <c r="AA23" i="7"/>
  <c r="Z23" i="7"/>
  <c r="Y23" i="7"/>
  <c r="H18" i="7"/>
  <c r="L9" i="7"/>
  <c r="K9" i="7"/>
  <c r="J9" i="7"/>
  <c r="J8" i="7"/>
  <c r="G138" i="6"/>
  <c r="F138" i="6"/>
  <c r="C138" i="6"/>
  <c r="B138" i="6"/>
  <c r="F136" i="6"/>
  <c r="F135" i="6"/>
  <c r="H134" i="6"/>
  <c r="G134" i="6"/>
  <c r="F134" i="6"/>
  <c r="C134" i="6"/>
  <c r="B134" i="6"/>
  <c r="E131" i="6"/>
  <c r="H126" i="6"/>
  <c r="G126" i="6"/>
  <c r="F126" i="6"/>
  <c r="E126" i="6"/>
  <c r="C126" i="6"/>
  <c r="B126" i="6"/>
  <c r="H125" i="6"/>
  <c r="G125" i="6"/>
  <c r="F125" i="6"/>
  <c r="E125" i="6"/>
  <c r="C125" i="6"/>
  <c r="B125" i="6"/>
  <c r="H124" i="6"/>
  <c r="G124" i="6"/>
  <c r="F124" i="6"/>
  <c r="C124" i="6"/>
  <c r="B124" i="6"/>
  <c r="H123" i="6"/>
  <c r="G123" i="6"/>
  <c r="F123" i="6"/>
  <c r="E123" i="6"/>
  <c r="C123" i="6"/>
  <c r="B123" i="6"/>
  <c r="H122" i="6"/>
  <c r="G122" i="6"/>
  <c r="F122" i="6"/>
  <c r="E122" i="6"/>
  <c r="C122" i="6"/>
  <c r="B122" i="6"/>
  <c r="H121" i="6"/>
  <c r="G121" i="6"/>
  <c r="F121" i="6"/>
  <c r="E121" i="6"/>
  <c r="C121" i="6"/>
  <c r="B121" i="6"/>
  <c r="H120" i="6"/>
  <c r="G120" i="6"/>
  <c r="F120" i="6"/>
  <c r="E120" i="6"/>
  <c r="C120" i="6"/>
  <c r="B120" i="6"/>
  <c r="H119" i="6"/>
  <c r="G119" i="6"/>
  <c r="F119" i="6"/>
  <c r="E119" i="6"/>
  <c r="H118" i="6"/>
  <c r="G118" i="6"/>
  <c r="F118" i="6"/>
  <c r="E118" i="6"/>
  <c r="C118" i="6"/>
  <c r="B118" i="6"/>
  <c r="E114" i="6"/>
  <c r="E113" i="6"/>
  <c r="E112" i="6"/>
  <c r="E115" i="6" s="1"/>
  <c r="H111" i="6"/>
  <c r="G111" i="6"/>
  <c r="F111" i="6"/>
  <c r="C111" i="6"/>
  <c r="B111" i="6"/>
  <c r="H110" i="6"/>
  <c r="G110" i="6"/>
  <c r="F110" i="6"/>
  <c r="C110" i="6"/>
  <c r="B110" i="6"/>
  <c r="H109" i="6"/>
  <c r="G109" i="6"/>
  <c r="F109" i="6"/>
  <c r="C109" i="6"/>
  <c r="B109" i="6"/>
  <c r="H108" i="6"/>
  <c r="G108" i="6"/>
  <c r="F108" i="6"/>
  <c r="C108" i="6"/>
  <c r="B108" i="6"/>
  <c r="H107" i="6"/>
  <c r="G107" i="6"/>
  <c r="F107" i="6"/>
  <c r="C107" i="6"/>
  <c r="B107" i="6"/>
  <c r="H106" i="6"/>
  <c r="G106" i="6"/>
  <c r="F106" i="6"/>
  <c r="H105" i="6"/>
  <c r="G105" i="6"/>
  <c r="F105" i="6"/>
  <c r="C105" i="6"/>
  <c r="B105" i="6"/>
  <c r="H104" i="6"/>
  <c r="G104" i="6"/>
  <c r="F104" i="6"/>
  <c r="E100" i="6"/>
  <c r="E99" i="6"/>
  <c r="E98" i="6"/>
  <c r="E101" i="6" s="1"/>
  <c r="H97" i="6"/>
  <c r="G97" i="6"/>
  <c r="F97" i="6"/>
  <c r="C97" i="6"/>
  <c r="B97" i="6"/>
  <c r="H96" i="6"/>
  <c r="G96" i="6"/>
  <c r="F96" i="6"/>
  <c r="C96" i="6"/>
  <c r="B96" i="6"/>
  <c r="H95" i="6"/>
  <c r="G95" i="6"/>
  <c r="F95" i="6"/>
  <c r="C95" i="6"/>
  <c r="B95" i="6"/>
  <c r="H94" i="6"/>
  <c r="G94" i="6"/>
  <c r="F94" i="6"/>
  <c r="C94" i="6"/>
  <c r="B94" i="6"/>
  <c r="H93" i="6"/>
  <c r="G93" i="6"/>
  <c r="F93" i="6"/>
  <c r="C93" i="6"/>
  <c r="B93" i="6"/>
  <c r="H84" i="6"/>
  <c r="G84" i="6"/>
  <c r="F84" i="6"/>
  <c r="E84" i="6"/>
  <c r="C84" i="6"/>
  <c r="B84" i="6"/>
  <c r="H83" i="6"/>
  <c r="G83" i="6"/>
  <c r="F83" i="6"/>
  <c r="E83" i="6"/>
  <c r="C83" i="6"/>
  <c r="B83" i="6"/>
  <c r="H82" i="6"/>
  <c r="G82" i="6"/>
  <c r="F82" i="6"/>
  <c r="C82" i="6"/>
  <c r="B82" i="6"/>
  <c r="H81" i="6"/>
  <c r="G81" i="6"/>
  <c r="F81" i="6"/>
  <c r="E81" i="6"/>
  <c r="C81" i="6"/>
  <c r="B81" i="6"/>
  <c r="H80" i="6"/>
  <c r="G80" i="6"/>
  <c r="F80" i="6"/>
  <c r="E80" i="6"/>
  <c r="C80" i="6"/>
  <c r="B80" i="6"/>
  <c r="H79" i="6"/>
  <c r="G79" i="6"/>
  <c r="F79" i="6"/>
  <c r="E79" i="6"/>
  <c r="H78" i="6"/>
  <c r="G78" i="6"/>
  <c r="F78" i="6"/>
  <c r="E78" i="6"/>
  <c r="C78" i="6"/>
  <c r="B78" i="6"/>
  <c r="H77" i="6"/>
  <c r="G77" i="6"/>
  <c r="F77" i="6"/>
  <c r="E77" i="6"/>
  <c r="H76" i="6"/>
  <c r="G76" i="6"/>
  <c r="F76" i="6"/>
  <c r="E76" i="6"/>
  <c r="G69" i="6"/>
  <c r="F69" i="6"/>
  <c r="E69" i="6"/>
  <c r="G68" i="6"/>
  <c r="F68" i="6"/>
  <c r="E68" i="6"/>
  <c r="G67" i="6"/>
  <c r="F67" i="6"/>
  <c r="E67" i="6"/>
  <c r="C67" i="6"/>
  <c r="B67" i="6"/>
  <c r="H66" i="6"/>
  <c r="G66" i="6"/>
  <c r="F66" i="6"/>
  <c r="E66" i="6"/>
  <c r="E59" i="6"/>
  <c r="E58" i="6"/>
  <c r="H57" i="6"/>
  <c r="G57" i="6"/>
  <c r="F57" i="6"/>
  <c r="E57" i="6"/>
  <c r="C57" i="6"/>
  <c r="B57" i="6"/>
  <c r="H56" i="6"/>
  <c r="G56" i="6"/>
  <c r="F56" i="6"/>
  <c r="E56" i="6"/>
  <c r="C56" i="6"/>
  <c r="B56" i="6"/>
  <c r="H55" i="6"/>
  <c r="G55" i="6"/>
  <c r="F55" i="6"/>
  <c r="E55" i="6"/>
  <c r="C55" i="6"/>
  <c r="B55" i="6"/>
  <c r="H54" i="6"/>
  <c r="G54" i="6"/>
  <c r="F54" i="6"/>
  <c r="E54" i="6"/>
  <c r="C54" i="6"/>
  <c r="B54" i="6"/>
  <c r="H53" i="6"/>
  <c r="G53" i="6"/>
  <c r="F53" i="6"/>
  <c r="E53" i="6"/>
  <c r="C53" i="6"/>
  <c r="B53" i="6"/>
  <c r="H52" i="6"/>
  <c r="G52" i="6"/>
  <c r="F52" i="6"/>
  <c r="E52" i="6"/>
  <c r="H51" i="6"/>
  <c r="G51" i="6"/>
  <c r="F51" i="6"/>
  <c r="E51" i="6"/>
  <c r="C51" i="6"/>
  <c r="B51" i="6"/>
  <c r="H50" i="6"/>
  <c r="G50" i="6"/>
  <c r="F50" i="6"/>
  <c r="E50" i="6"/>
  <c r="H49" i="6"/>
  <c r="G49" i="6"/>
  <c r="F49" i="6"/>
  <c r="E49" i="6"/>
  <c r="C40" i="6"/>
  <c r="B40" i="6"/>
  <c r="H32" i="6"/>
  <c r="H40" i="6" s="1"/>
  <c r="G32" i="6"/>
  <c r="G40" i="6" s="1"/>
  <c r="F32" i="6"/>
  <c r="F40" i="6" s="1"/>
  <c r="E32" i="6"/>
  <c r="H31" i="6"/>
  <c r="H39" i="6" s="1"/>
  <c r="G31" i="6"/>
  <c r="G39" i="6" s="1"/>
  <c r="F31" i="6"/>
  <c r="F39" i="6" s="1"/>
  <c r="E31" i="6"/>
  <c r="C31" i="6"/>
  <c r="C39" i="6" s="1"/>
  <c r="B31" i="6"/>
  <c r="B39" i="6" s="1"/>
  <c r="H30" i="6"/>
  <c r="G30" i="6"/>
  <c r="F30" i="6"/>
  <c r="E30" i="6"/>
  <c r="C30" i="6"/>
  <c r="B30" i="6"/>
  <c r="H14" i="6"/>
  <c r="H24" i="6" s="1"/>
  <c r="G14" i="6"/>
  <c r="G24" i="6" s="1"/>
  <c r="F14" i="6"/>
  <c r="F24" i="6" s="1"/>
  <c r="E14" i="6"/>
  <c r="H13" i="6"/>
  <c r="H23" i="6" s="1"/>
  <c r="G13" i="6"/>
  <c r="G23" i="6" s="1"/>
  <c r="F13" i="6"/>
  <c r="F23" i="6" s="1"/>
  <c r="E13" i="6"/>
  <c r="C13" i="6"/>
  <c r="C23" i="6" s="1"/>
  <c r="B13" i="6"/>
  <c r="B23" i="6" s="1"/>
  <c r="H12" i="6"/>
  <c r="H22" i="6" s="1"/>
  <c r="G12" i="6"/>
  <c r="G22" i="6" s="1"/>
  <c r="F12" i="6"/>
  <c r="F22" i="6" s="1"/>
  <c r="E12" i="6"/>
  <c r="C12" i="6"/>
  <c r="C22" i="6" s="1"/>
  <c r="B12" i="6"/>
  <c r="B22" i="6" s="1"/>
  <c r="H11" i="6"/>
  <c r="H21" i="6" s="1"/>
  <c r="G11" i="6"/>
  <c r="G21" i="6" s="1"/>
  <c r="F11" i="6"/>
  <c r="F21" i="6" s="1"/>
  <c r="E11" i="6"/>
  <c r="C11" i="6"/>
  <c r="C21" i="6" s="1"/>
  <c r="B11" i="6"/>
  <c r="B21" i="6" s="1"/>
  <c r="H10" i="6"/>
  <c r="G10" i="6"/>
  <c r="F10" i="6"/>
  <c r="E10" i="6"/>
  <c r="C10" i="6"/>
  <c r="B10" i="6"/>
  <c r="V21" i="5"/>
  <c r="V20" i="5"/>
  <c r="V19" i="5"/>
  <c r="V18" i="5"/>
  <c r="AW17" i="5"/>
  <c r="AT17" i="5"/>
  <c r="AU17" i="5" s="1"/>
  <c r="AR17" i="5"/>
  <c r="AS17" i="5" s="1"/>
  <c r="AP17" i="5"/>
  <c r="AQ17" i="5" s="1"/>
  <c r="AN17" i="5"/>
  <c r="AL17" i="5"/>
  <c r="AM17" i="5" s="1"/>
  <c r="AJ17" i="5"/>
  <c r="AK17" i="5" s="1"/>
  <c r="AI17" i="5"/>
  <c r="AH17" i="5"/>
  <c r="AG17" i="5"/>
  <c r="AF17" i="5"/>
  <c r="AD17" i="5"/>
  <c r="AC17" i="5"/>
  <c r="AB17" i="5"/>
  <c r="AA17" i="5"/>
  <c r="Z17" i="5"/>
  <c r="U17" i="5"/>
  <c r="S17" i="5"/>
  <c r="Q17" i="5"/>
  <c r="R17" i="5" s="1"/>
  <c r="P17" i="5"/>
  <c r="O17" i="5"/>
  <c r="AE17" i="5" s="1"/>
  <c r="M17" i="5"/>
  <c r="X17" i="5" s="1"/>
  <c r="L17" i="5"/>
  <c r="J17" i="5"/>
  <c r="K17" i="5" s="1"/>
  <c r="I17" i="5"/>
  <c r="H17" i="5"/>
  <c r="G17" i="5"/>
  <c r="F17" i="5"/>
  <c r="E17" i="5"/>
  <c r="D17" i="5"/>
  <c r="C17" i="5"/>
  <c r="B17" i="5"/>
  <c r="A17" i="5"/>
  <c r="AW16" i="5"/>
  <c r="AT16" i="5"/>
  <c r="AU16" i="5" s="1"/>
  <c r="AR16" i="5"/>
  <c r="AS16" i="5" s="1"/>
  <c r="AP16" i="5"/>
  <c r="AQ16" i="5" s="1"/>
  <c r="AN16" i="5"/>
  <c r="AL16" i="5"/>
  <c r="AM16" i="5" s="1"/>
  <c r="AJ16" i="5"/>
  <c r="AK16" i="5" s="1"/>
  <c r="AI16" i="5"/>
  <c r="AH16" i="5"/>
  <c r="AG16" i="5"/>
  <c r="AF16" i="5"/>
  <c r="AD16" i="5"/>
  <c r="AC16" i="5"/>
  <c r="AB16" i="5"/>
  <c r="AA16" i="5"/>
  <c r="Z16" i="5"/>
  <c r="U16" i="5"/>
  <c r="R16" i="5"/>
  <c r="Q16" i="5"/>
  <c r="P16" i="5"/>
  <c r="O16" i="5"/>
  <c r="M16" i="5"/>
  <c r="X16" i="5" s="1"/>
  <c r="L16" i="5"/>
  <c r="J16" i="5"/>
  <c r="K16" i="5" s="1"/>
  <c r="I16" i="5"/>
  <c r="H16" i="5"/>
  <c r="G16" i="5"/>
  <c r="F16" i="5"/>
  <c r="E16" i="5"/>
  <c r="D16" i="5"/>
  <c r="C16" i="5"/>
  <c r="B16" i="5"/>
  <c r="A16" i="5"/>
  <c r="AW15" i="5"/>
  <c r="AT15" i="5"/>
  <c r="AU15" i="5" s="1"/>
  <c r="AS15" i="5"/>
  <c r="AR15" i="5"/>
  <c r="AP15" i="5"/>
  <c r="AQ15" i="5" s="1"/>
  <c r="AN15" i="5"/>
  <c r="AL15" i="5"/>
  <c r="AM15" i="5" s="1"/>
  <c r="AJ15" i="5"/>
  <c r="AK15" i="5" s="1"/>
  <c r="AI15" i="5"/>
  <c r="AH15" i="5"/>
  <c r="AG15" i="5"/>
  <c r="AF15" i="5"/>
  <c r="AD15" i="5"/>
  <c r="AC15" i="5"/>
  <c r="AB15" i="5"/>
  <c r="AA15" i="5"/>
  <c r="Z15" i="5"/>
  <c r="U15" i="5"/>
  <c r="Q15" i="5"/>
  <c r="R15" i="5" s="1"/>
  <c r="P15" i="5"/>
  <c r="O15" i="5"/>
  <c r="M15" i="5"/>
  <c r="X15" i="5" s="1"/>
  <c r="L15" i="5"/>
  <c r="J15" i="5"/>
  <c r="K15" i="5" s="1"/>
  <c r="I15" i="5"/>
  <c r="H15" i="5"/>
  <c r="G15" i="5"/>
  <c r="F15" i="5"/>
  <c r="E15" i="5"/>
  <c r="D15" i="5"/>
  <c r="C15" i="5"/>
  <c r="B15" i="5"/>
  <c r="A15" i="5"/>
  <c r="V12" i="5"/>
  <c r="V11" i="5"/>
  <c r="AW10" i="5"/>
  <c r="AT10" i="5"/>
  <c r="AU10" i="5" s="1"/>
  <c r="AR10" i="5"/>
  <c r="AS10" i="5" s="1"/>
  <c r="AP10" i="5"/>
  <c r="AQ10" i="5" s="1"/>
  <c r="AN10" i="5"/>
  <c r="AL10" i="5"/>
  <c r="AM10" i="5" s="1"/>
  <c r="AJ10" i="5"/>
  <c r="AK10" i="5" s="1"/>
  <c r="AI10" i="5"/>
  <c r="AH10" i="5"/>
  <c r="AG10" i="5"/>
  <c r="AF10" i="5"/>
  <c r="AD10" i="5"/>
  <c r="AC10" i="5"/>
  <c r="AB10" i="5"/>
  <c r="AA10" i="5"/>
  <c r="Z10" i="5"/>
  <c r="U10" i="5"/>
  <c r="Q10" i="5"/>
  <c r="R10" i="5" s="1"/>
  <c r="P10" i="5"/>
  <c r="O10" i="5"/>
  <c r="M10" i="5"/>
  <c r="X10" i="5" s="1"/>
  <c r="L10" i="5"/>
  <c r="J10" i="5"/>
  <c r="K10" i="5" s="1"/>
  <c r="I10" i="5"/>
  <c r="H10" i="5"/>
  <c r="G10" i="5"/>
  <c r="F10" i="5"/>
  <c r="E10" i="5"/>
  <c r="D10" i="5"/>
  <c r="C10" i="5"/>
  <c r="B10" i="5"/>
  <c r="A10" i="5"/>
  <c r="AW9" i="5"/>
  <c r="AT9" i="5"/>
  <c r="AU9" i="5" s="1"/>
  <c r="AR9" i="5"/>
  <c r="AS9" i="5" s="1"/>
  <c r="AP9" i="5"/>
  <c r="AQ9" i="5" s="1"/>
  <c r="AN9" i="5"/>
  <c r="AL9" i="5"/>
  <c r="AM9" i="5" s="1"/>
  <c r="AJ9" i="5"/>
  <c r="AK9" i="5" s="1"/>
  <c r="AI9" i="5"/>
  <c r="AH9" i="5"/>
  <c r="AG9" i="5"/>
  <c r="AF9" i="5"/>
  <c r="AD9" i="5"/>
  <c r="AC9" i="5"/>
  <c r="AB9" i="5"/>
  <c r="AA9" i="5"/>
  <c r="Z9" i="5"/>
  <c r="U9" i="5"/>
  <c r="Q9" i="5"/>
  <c r="R9" i="5" s="1"/>
  <c r="P9" i="5"/>
  <c r="O9" i="5"/>
  <c r="M9" i="5"/>
  <c r="X9" i="5" s="1"/>
  <c r="L9" i="5"/>
  <c r="J9" i="5"/>
  <c r="K9" i="5" s="1"/>
  <c r="I9" i="5"/>
  <c r="H9" i="5"/>
  <c r="G9" i="5"/>
  <c r="F9" i="5"/>
  <c r="E9" i="5"/>
  <c r="D9" i="5"/>
  <c r="C9" i="5"/>
  <c r="B9" i="5"/>
  <c r="A9" i="5"/>
  <c r="AW8" i="5"/>
  <c r="AT8" i="5"/>
  <c r="AU8" i="5" s="1"/>
  <c r="AR8" i="5"/>
  <c r="AS8" i="5" s="1"/>
  <c r="AP8" i="5"/>
  <c r="AQ8" i="5" s="1"/>
  <c r="AN8" i="5"/>
  <c r="AL8" i="5"/>
  <c r="AM8" i="5" s="1"/>
  <c r="AJ8" i="5"/>
  <c r="AK8" i="5" s="1"/>
  <c r="AI8" i="5"/>
  <c r="AH8" i="5"/>
  <c r="AG8" i="5"/>
  <c r="AF8" i="5"/>
  <c r="AD8" i="5"/>
  <c r="AC8" i="5"/>
  <c r="AB8" i="5"/>
  <c r="AA8" i="5"/>
  <c r="Z8" i="5"/>
  <c r="U8" i="5"/>
  <c r="Q8" i="5"/>
  <c r="R8" i="5" s="1"/>
  <c r="P8" i="5"/>
  <c r="O8" i="5"/>
  <c r="M8" i="5"/>
  <c r="X8" i="5" s="1"/>
  <c r="L8" i="5"/>
  <c r="J8" i="5"/>
  <c r="K8" i="5" s="1"/>
  <c r="I8" i="5"/>
  <c r="H8" i="5"/>
  <c r="G8" i="5"/>
  <c r="F8" i="5"/>
  <c r="E8" i="5"/>
  <c r="D8" i="5"/>
  <c r="C8" i="5"/>
  <c r="B8" i="5"/>
  <c r="A8" i="5"/>
  <c r="AW7" i="5"/>
  <c r="AT7" i="5"/>
  <c r="AU7" i="5" s="1"/>
  <c r="AR7" i="5"/>
  <c r="AS7" i="5" s="1"/>
  <c r="AP7" i="5"/>
  <c r="AQ7" i="5" s="1"/>
  <c r="AN7" i="5"/>
  <c r="AL7" i="5"/>
  <c r="AM7" i="5" s="1"/>
  <c r="AJ7" i="5"/>
  <c r="AK7" i="5" s="1"/>
  <c r="AI7" i="5"/>
  <c r="AH7" i="5"/>
  <c r="AG7" i="5"/>
  <c r="AF7" i="5"/>
  <c r="AD7" i="5"/>
  <c r="AC7" i="5"/>
  <c r="AB7" i="5"/>
  <c r="AA7" i="5"/>
  <c r="Z7" i="5"/>
  <c r="U7" i="5"/>
  <c r="Q7" i="5"/>
  <c r="R7" i="5" s="1"/>
  <c r="P7" i="5"/>
  <c r="O7" i="5"/>
  <c r="M7" i="5"/>
  <c r="X7" i="5" s="1"/>
  <c r="L7" i="5"/>
  <c r="J7" i="5"/>
  <c r="K7" i="5" s="1"/>
  <c r="I7" i="5"/>
  <c r="H7" i="5"/>
  <c r="G7" i="5"/>
  <c r="F7" i="5"/>
  <c r="E7" i="5"/>
  <c r="D7" i="5"/>
  <c r="C7" i="5"/>
  <c r="B7" i="5"/>
  <c r="A7" i="5"/>
  <c r="AW6" i="5"/>
  <c r="AT6" i="5"/>
  <c r="AU6" i="5" s="1"/>
  <c r="AR6" i="5"/>
  <c r="AS6" i="5" s="1"/>
  <c r="AP6" i="5"/>
  <c r="AQ6" i="5" s="1"/>
  <c r="AN6" i="5"/>
  <c r="AL6" i="5"/>
  <c r="AM6" i="5" s="1"/>
  <c r="AJ6" i="5"/>
  <c r="AK6" i="5" s="1"/>
  <c r="AI6" i="5"/>
  <c r="AH6" i="5"/>
  <c r="AG6" i="5"/>
  <c r="AF6" i="5"/>
  <c r="AD6" i="5"/>
  <c r="AC6" i="5"/>
  <c r="AB6" i="5"/>
  <c r="AA6" i="5"/>
  <c r="Z6" i="5"/>
  <c r="U6" i="5"/>
  <c r="Q6" i="5"/>
  <c r="R6" i="5" s="1"/>
  <c r="P6" i="5"/>
  <c r="O6" i="5"/>
  <c r="M6" i="5"/>
  <c r="X6" i="5" s="1"/>
  <c r="L6" i="5"/>
  <c r="J6" i="5"/>
  <c r="K6" i="5" s="1"/>
  <c r="I6" i="5"/>
  <c r="H6" i="5"/>
  <c r="G6" i="5"/>
  <c r="F6" i="5"/>
  <c r="E6" i="5"/>
  <c r="D6" i="5"/>
  <c r="C6" i="5"/>
  <c r="B6" i="5"/>
  <c r="A6" i="5"/>
  <c r="AW5" i="5"/>
  <c r="AT5" i="5"/>
  <c r="AU5" i="5" s="1"/>
  <c r="AR5" i="5"/>
  <c r="AS5" i="5" s="1"/>
  <c r="AP5" i="5"/>
  <c r="AQ5" i="5" s="1"/>
  <c r="AJ5" i="5"/>
  <c r="AK5" i="5" s="1"/>
  <c r="AI5" i="5"/>
  <c r="AH5" i="5"/>
  <c r="AG5" i="5"/>
  <c r="AF5" i="5"/>
  <c r="AA5" i="5"/>
  <c r="U5" i="5"/>
  <c r="Q5" i="5"/>
  <c r="R5" i="5" s="1"/>
  <c r="P5" i="5"/>
  <c r="O5" i="5"/>
  <c r="M5" i="5"/>
  <c r="X5" i="5" s="1"/>
  <c r="L5" i="5"/>
  <c r="J5" i="5"/>
  <c r="K5" i="5" s="1"/>
  <c r="I5" i="5"/>
  <c r="H5" i="5"/>
  <c r="G5" i="5"/>
  <c r="F5" i="5"/>
  <c r="E5" i="5"/>
  <c r="D5" i="5"/>
  <c r="C5" i="5"/>
  <c r="B5" i="5"/>
  <c r="A5" i="5"/>
  <c r="D68" i="4"/>
  <c r="B68" i="4"/>
  <c r="C68" i="4" s="1"/>
  <c r="C67" i="4"/>
  <c r="D65" i="4"/>
  <c r="C65" i="4"/>
  <c r="B65" i="4"/>
  <c r="H61" i="4"/>
  <c r="F61" i="4"/>
  <c r="D61" i="4"/>
  <c r="B61" i="4"/>
  <c r="D60" i="4"/>
  <c r="B60" i="4"/>
  <c r="AN52" i="4"/>
  <c r="AM52" i="4"/>
  <c r="AL52" i="4"/>
  <c r="AJ52" i="4"/>
  <c r="AI52" i="4"/>
  <c r="AF52" i="4"/>
  <c r="AE52" i="4"/>
  <c r="AA52" i="4"/>
  <c r="X52" i="4"/>
  <c r="W52" i="4"/>
  <c r="V52" i="4"/>
  <c r="O52" i="4"/>
  <c r="N52" i="4"/>
  <c r="M52" i="4"/>
  <c r="J52" i="4"/>
  <c r="AN50" i="4"/>
  <c r="AM50" i="4"/>
  <c r="AL50" i="4"/>
  <c r="AN49" i="4"/>
  <c r="AN48" i="4"/>
  <c r="AM47" i="4"/>
  <c r="AL47" i="4"/>
  <c r="AK47" i="4"/>
  <c r="AJ47" i="4"/>
  <c r="AI47" i="4"/>
  <c r="AH47" i="4"/>
  <c r="AG47" i="4"/>
  <c r="AF47" i="4"/>
  <c r="AE47" i="4"/>
  <c r="AD47" i="4"/>
  <c r="AC47" i="4"/>
  <c r="AB47" i="4"/>
  <c r="AA47" i="4"/>
  <c r="Z47" i="4"/>
  <c r="Y47" i="4"/>
  <c r="X47" i="4"/>
  <c r="W47" i="4"/>
  <c r="V47" i="4"/>
  <c r="U47" i="4"/>
  <c r="T47" i="4"/>
  <c r="S47" i="4"/>
  <c r="R47" i="4"/>
  <c r="Q47" i="4"/>
  <c r="P47" i="4"/>
  <c r="O47" i="4"/>
  <c r="N47" i="4"/>
  <c r="M47" i="4"/>
  <c r="L47" i="4"/>
  <c r="K47" i="4"/>
  <c r="J47" i="4"/>
  <c r="I47" i="4"/>
  <c r="H47" i="4"/>
  <c r="G47" i="4"/>
  <c r="F47" i="4"/>
  <c r="E47" i="4"/>
  <c r="D47" i="4"/>
  <c r="C47" i="4"/>
  <c r="B47" i="4"/>
  <c r="AN46" i="4"/>
  <c r="AM46" i="4"/>
  <c r="AL46" i="4"/>
  <c r="AK46" i="4"/>
  <c r="AJ46" i="4"/>
  <c r="AI46" i="4"/>
  <c r="AH46" i="4"/>
  <c r="AG46" i="4"/>
  <c r="AF46" i="4"/>
  <c r="AE46" i="4"/>
  <c r="AD46" i="4"/>
  <c r="AC46" i="4"/>
  <c r="AB46" i="4"/>
  <c r="AA46" i="4"/>
  <c r="Z46" i="4"/>
  <c r="Y46" i="4"/>
  <c r="X46" i="4"/>
  <c r="W46" i="4"/>
  <c r="V46" i="4"/>
  <c r="U46" i="4"/>
  <c r="T46" i="4"/>
  <c r="S46" i="4"/>
  <c r="R46" i="4"/>
  <c r="Q46" i="4"/>
  <c r="P46" i="4"/>
  <c r="O46" i="4"/>
  <c r="N46" i="4"/>
  <c r="M46" i="4"/>
  <c r="L46" i="4"/>
  <c r="K46" i="4"/>
  <c r="J46" i="4"/>
  <c r="I46" i="4"/>
  <c r="H46" i="4"/>
  <c r="G46" i="4"/>
  <c r="F46" i="4"/>
  <c r="E46" i="4"/>
  <c r="D46" i="4"/>
  <c r="C46" i="4"/>
  <c r="B46" i="4"/>
  <c r="AK43" i="4"/>
  <c r="AJ43" i="4"/>
  <c r="AI43" i="4"/>
  <c r="AH43" i="4"/>
  <c r="AG43" i="4"/>
  <c r="AF43" i="4"/>
  <c r="AE43" i="4"/>
  <c r="AD43" i="4"/>
  <c r="AC43" i="4"/>
  <c r="AB43" i="4"/>
  <c r="AA43" i="4"/>
  <c r="Z43" i="4"/>
  <c r="Y43" i="4"/>
  <c r="X43" i="4"/>
  <c r="W43" i="4"/>
  <c r="V43" i="4"/>
  <c r="U43" i="4"/>
  <c r="T43" i="4"/>
  <c r="S43" i="4"/>
  <c r="R43" i="4"/>
  <c r="Q43" i="4"/>
  <c r="P43" i="4"/>
  <c r="O43" i="4"/>
  <c r="N43" i="4"/>
  <c r="M43" i="4"/>
  <c r="L43" i="4"/>
  <c r="K43" i="4"/>
  <c r="J43" i="4"/>
  <c r="I43" i="4"/>
  <c r="H43" i="4"/>
  <c r="G43" i="4"/>
  <c r="D43" i="4"/>
  <c r="C43" i="4"/>
  <c r="B43" i="4"/>
  <c r="AK42" i="4"/>
  <c r="AJ42" i="4"/>
  <c r="AI42" i="4"/>
  <c r="AH42" i="4"/>
  <c r="AG42" i="4"/>
  <c r="AF42" i="4"/>
  <c r="AE42" i="4"/>
  <c r="AD42" i="4"/>
  <c r="AC42" i="4"/>
  <c r="AB42" i="4"/>
  <c r="AA42" i="4"/>
  <c r="Z42" i="4"/>
  <c r="Y42" i="4"/>
  <c r="X42" i="4"/>
  <c r="W42" i="4"/>
  <c r="V42" i="4"/>
  <c r="U42" i="4"/>
  <c r="T42" i="4"/>
  <c r="S42" i="4"/>
  <c r="R42" i="4"/>
  <c r="Q42" i="4"/>
  <c r="P42" i="4"/>
  <c r="O42" i="4"/>
  <c r="N42" i="4"/>
  <c r="M42" i="4"/>
  <c r="L42" i="4"/>
  <c r="K42" i="4"/>
  <c r="J42" i="4"/>
  <c r="I42" i="4"/>
  <c r="H42" i="4"/>
  <c r="G42" i="4"/>
  <c r="D42" i="4"/>
  <c r="C42" i="4"/>
  <c r="B42" i="4"/>
  <c r="M37" i="4"/>
  <c r="M38" i="4" s="1"/>
  <c r="D37" i="4"/>
  <c r="D38" i="4" s="1"/>
  <c r="C37" i="4"/>
  <c r="C38" i="4" s="1"/>
  <c r="B37" i="4"/>
  <c r="B38" i="4" s="1"/>
  <c r="M36" i="4"/>
  <c r="D36" i="4"/>
  <c r="C36" i="4"/>
  <c r="B36" i="4"/>
  <c r="M35" i="4"/>
  <c r="M39" i="4" s="1"/>
  <c r="D35" i="4"/>
  <c r="D39" i="4" s="1"/>
  <c r="C35" i="4"/>
  <c r="C39" i="4" s="1"/>
  <c r="B35" i="4"/>
  <c r="B39" i="4" s="1"/>
  <c r="M34" i="4"/>
  <c r="D34" i="4"/>
  <c r="C34" i="4"/>
  <c r="B34" i="4"/>
  <c r="AM31" i="4"/>
  <c r="AL31" i="4"/>
  <c r="AK31" i="4"/>
  <c r="AJ31" i="4"/>
  <c r="AI31" i="4"/>
  <c r="AH31" i="4"/>
  <c r="AG31" i="4"/>
  <c r="AF31" i="4"/>
  <c r="AE31" i="4"/>
  <c r="AD31" i="4"/>
  <c r="AC31" i="4"/>
  <c r="AB31" i="4"/>
  <c r="AA31" i="4"/>
  <c r="Z31" i="4"/>
  <c r="Y31" i="4"/>
  <c r="X31" i="4"/>
  <c r="W31" i="4"/>
  <c r="V31" i="4"/>
  <c r="U31" i="4"/>
  <c r="T31" i="4"/>
  <c r="S31" i="4"/>
  <c r="R31" i="4"/>
  <c r="Q31" i="4"/>
  <c r="P31" i="4"/>
  <c r="O31" i="4"/>
  <c r="N31" i="4"/>
  <c r="M31" i="4"/>
  <c r="L31" i="4"/>
  <c r="K31" i="4"/>
  <c r="J31" i="4"/>
  <c r="I31" i="4"/>
  <c r="H31" i="4"/>
  <c r="G31" i="4"/>
  <c r="F31" i="4"/>
  <c r="E31" i="4"/>
  <c r="D31" i="4"/>
  <c r="C31" i="4"/>
  <c r="B31" i="4"/>
  <c r="AN30" i="4"/>
  <c r="AM30" i="4"/>
  <c r="AL30" i="4"/>
  <c r="AK30" i="4"/>
  <c r="AJ30" i="4"/>
  <c r="AI30" i="4"/>
  <c r="AH30" i="4"/>
  <c r="AG30" i="4"/>
  <c r="AF30" i="4"/>
  <c r="AE30" i="4"/>
  <c r="AD30" i="4"/>
  <c r="AC30" i="4"/>
  <c r="AB30" i="4"/>
  <c r="AA30" i="4"/>
  <c r="Z30" i="4"/>
  <c r="Y30" i="4"/>
  <c r="X30" i="4"/>
  <c r="W30" i="4"/>
  <c r="V30" i="4"/>
  <c r="U30" i="4"/>
  <c r="T30" i="4"/>
  <c r="S30" i="4"/>
  <c r="R30" i="4"/>
  <c r="Q30" i="4"/>
  <c r="P30" i="4"/>
  <c r="O30" i="4"/>
  <c r="N30" i="4"/>
  <c r="M30" i="4"/>
  <c r="L30" i="4"/>
  <c r="K30" i="4"/>
  <c r="J30" i="4"/>
  <c r="I30" i="4"/>
  <c r="H30" i="4"/>
  <c r="G30" i="4"/>
  <c r="F30" i="4"/>
  <c r="E30" i="4"/>
  <c r="D30" i="4"/>
  <c r="C30" i="4"/>
  <c r="B30" i="4"/>
  <c r="AM27" i="4"/>
  <c r="AL27" i="4"/>
  <c r="AK27" i="4"/>
  <c r="AJ27" i="4"/>
  <c r="AI27" i="4"/>
  <c r="AH27" i="4"/>
  <c r="AG27" i="4"/>
  <c r="AF27" i="4"/>
  <c r="AE27" i="4"/>
  <c r="AD27" i="4"/>
  <c r="AC27" i="4"/>
  <c r="AB27" i="4"/>
  <c r="AA27" i="4"/>
  <c r="Z27" i="4"/>
  <c r="Y27" i="4"/>
  <c r="X27" i="4"/>
  <c r="W27" i="4"/>
  <c r="V27" i="4"/>
  <c r="U27" i="4"/>
  <c r="T27" i="4"/>
  <c r="S27" i="4"/>
  <c r="R27" i="4"/>
  <c r="Q27" i="4"/>
  <c r="P27" i="4"/>
  <c r="O27" i="4"/>
  <c r="N27" i="4"/>
  <c r="M27" i="4"/>
  <c r="L27" i="4"/>
  <c r="K27" i="4"/>
  <c r="J27" i="4"/>
  <c r="I27" i="4"/>
  <c r="H27" i="4"/>
  <c r="G27" i="4"/>
  <c r="F27" i="4"/>
  <c r="E27" i="4"/>
  <c r="D27" i="4"/>
  <c r="C27" i="4"/>
  <c r="B27" i="4"/>
  <c r="AN26" i="4"/>
  <c r="AM26" i="4"/>
  <c r="AL26" i="4"/>
  <c r="AK26" i="4"/>
  <c r="AJ26" i="4"/>
  <c r="AI26" i="4"/>
  <c r="AH26" i="4"/>
  <c r="AG26" i="4"/>
  <c r="AF26" i="4"/>
  <c r="AE26" i="4"/>
  <c r="AD26" i="4"/>
  <c r="AC26" i="4"/>
  <c r="AB26" i="4"/>
  <c r="AA26" i="4"/>
  <c r="Z26" i="4"/>
  <c r="Y26" i="4"/>
  <c r="X26" i="4"/>
  <c r="W26" i="4"/>
  <c r="V26" i="4"/>
  <c r="U26" i="4"/>
  <c r="T26" i="4"/>
  <c r="S26" i="4"/>
  <c r="R26" i="4"/>
  <c r="Q26" i="4"/>
  <c r="P26" i="4"/>
  <c r="O26" i="4"/>
  <c r="N26" i="4"/>
  <c r="M26" i="4"/>
  <c r="L26" i="4"/>
  <c r="K26" i="4"/>
  <c r="J26" i="4"/>
  <c r="I26" i="4"/>
  <c r="H26" i="4"/>
  <c r="G26" i="4"/>
  <c r="F26" i="4"/>
  <c r="E26" i="4"/>
  <c r="D26" i="4"/>
  <c r="C26" i="4"/>
  <c r="B26" i="4"/>
  <c r="AN23" i="4"/>
  <c r="AN22" i="4"/>
  <c r="AM21" i="4"/>
  <c r="AL21" i="4"/>
  <c r="AK21" i="4"/>
  <c r="AJ21" i="4"/>
  <c r="AI21" i="4"/>
  <c r="AH21" i="4"/>
  <c r="AG21" i="4"/>
  <c r="AF21" i="4"/>
  <c r="AE21" i="4"/>
  <c r="AD21" i="4"/>
  <c r="AC21" i="4"/>
  <c r="AB21" i="4"/>
  <c r="AA21" i="4"/>
  <c r="Z21" i="4"/>
  <c r="Y21" i="4"/>
  <c r="X21" i="4"/>
  <c r="W21" i="4"/>
  <c r="V21" i="4"/>
  <c r="U21" i="4"/>
  <c r="T21" i="4"/>
  <c r="S21" i="4"/>
  <c r="R21" i="4"/>
  <c r="Q21" i="4"/>
  <c r="P21" i="4"/>
  <c r="O21" i="4"/>
  <c r="N21" i="4"/>
  <c r="M21" i="4"/>
  <c r="L21" i="4"/>
  <c r="K21" i="4"/>
  <c r="J21" i="4"/>
  <c r="I21" i="4"/>
  <c r="H21" i="4"/>
  <c r="G21" i="4"/>
  <c r="F21" i="4"/>
  <c r="E21" i="4"/>
  <c r="D21" i="4"/>
  <c r="C21" i="4"/>
  <c r="B21" i="4"/>
  <c r="AN20" i="4"/>
  <c r="AM20" i="4"/>
  <c r="AL20" i="4"/>
  <c r="AK20" i="4"/>
  <c r="AJ20" i="4"/>
  <c r="AI20" i="4"/>
  <c r="AH20" i="4"/>
  <c r="AG20" i="4"/>
  <c r="AF20" i="4"/>
  <c r="AE20" i="4"/>
  <c r="AD20" i="4"/>
  <c r="AC20" i="4"/>
  <c r="AB20" i="4"/>
  <c r="AA20" i="4"/>
  <c r="Z20" i="4"/>
  <c r="Y20" i="4"/>
  <c r="X20" i="4"/>
  <c r="W20" i="4"/>
  <c r="V20" i="4"/>
  <c r="U20" i="4"/>
  <c r="T20" i="4"/>
  <c r="S20" i="4"/>
  <c r="R20" i="4"/>
  <c r="Q20" i="4"/>
  <c r="P20" i="4"/>
  <c r="O20" i="4"/>
  <c r="N20" i="4"/>
  <c r="M20" i="4"/>
  <c r="L20" i="4"/>
  <c r="K20" i="4"/>
  <c r="J20" i="4"/>
  <c r="I20" i="4"/>
  <c r="H20" i="4"/>
  <c r="G20" i="4"/>
  <c r="F20" i="4"/>
  <c r="E20" i="4"/>
  <c r="D20" i="4"/>
  <c r="C20" i="4"/>
  <c r="B20" i="4"/>
  <c r="AN19" i="4"/>
  <c r="AN18" i="4"/>
  <c r="AM17" i="4"/>
  <c r="AL17" i="4"/>
  <c r="AK17" i="4"/>
  <c r="AJ17" i="4"/>
  <c r="AI17" i="4"/>
  <c r="AH17" i="4"/>
  <c r="AG17" i="4"/>
  <c r="AF17" i="4"/>
  <c r="AE17" i="4"/>
  <c r="AD17" i="4"/>
  <c r="AC17" i="4"/>
  <c r="AB17" i="4"/>
  <c r="AA17" i="4"/>
  <c r="Z17" i="4"/>
  <c r="Y17" i="4"/>
  <c r="X17" i="4"/>
  <c r="W17" i="4"/>
  <c r="V17" i="4"/>
  <c r="U17" i="4"/>
  <c r="T17" i="4"/>
  <c r="S17" i="4"/>
  <c r="R17" i="4"/>
  <c r="Q17" i="4"/>
  <c r="P17" i="4"/>
  <c r="O17" i="4"/>
  <c r="N17" i="4"/>
  <c r="M17" i="4"/>
  <c r="L17" i="4"/>
  <c r="K17" i="4"/>
  <c r="J17" i="4"/>
  <c r="I17" i="4"/>
  <c r="H17" i="4"/>
  <c r="G17" i="4"/>
  <c r="F17" i="4"/>
  <c r="E17" i="4"/>
  <c r="D17" i="4"/>
  <c r="C17" i="4"/>
  <c r="B17" i="4"/>
  <c r="AN16" i="4"/>
  <c r="AM16" i="4"/>
  <c r="AL16" i="4"/>
  <c r="AK16" i="4"/>
  <c r="AJ16" i="4"/>
  <c r="AI16" i="4"/>
  <c r="AH16" i="4"/>
  <c r="AG16" i="4"/>
  <c r="AF16" i="4"/>
  <c r="AE16" i="4"/>
  <c r="AD16" i="4"/>
  <c r="AC16" i="4"/>
  <c r="AB16" i="4"/>
  <c r="AA16" i="4"/>
  <c r="Z16" i="4"/>
  <c r="Y16" i="4"/>
  <c r="X16" i="4"/>
  <c r="W16" i="4"/>
  <c r="V16" i="4"/>
  <c r="U16" i="4"/>
  <c r="T16" i="4"/>
  <c r="S16" i="4"/>
  <c r="R16" i="4"/>
  <c r="Q16" i="4"/>
  <c r="P16" i="4"/>
  <c r="O16" i="4"/>
  <c r="N16" i="4"/>
  <c r="M16" i="4"/>
  <c r="L16" i="4"/>
  <c r="K16" i="4"/>
  <c r="J16" i="4"/>
  <c r="I16" i="4"/>
  <c r="H16" i="4"/>
  <c r="G16" i="4"/>
  <c r="F16" i="4"/>
  <c r="E16" i="4"/>
  <c r="D16" i="4"/>
  <c r="C16" i="4"/>
  <c r="B16" i="4"/>
  <c r="AN13" i="4"/>
  <c r="AM13" i="4"/>
  <c r="AL13" i="4"/>
  <c r="AK13" i="4"/>
  <c r="AJ13" i="4"/>
  <c r="AI13" i="4"/>
  <c r="AH13" i="4"/>
  <c r="AG13" i="4"/>
  <c r="AF13" i="4"/>
  <c r="AE13" i="4"/>
  <c r="AD13" i="4"/>
  <c r="AC13" i="4"/>
  <c r="AB13" i="4"/>
  <c r="AA13" i="4"/>
  <c r="Z13" i="4"/>
  <c r="Y13" i="4"/>
  <c r="X13" i="4"/>
  <c r="W13" i="4"/>
  <c r="V13" i="4"/>
  <c r="AN12" i="4"/>
  <c r="AM11" i="4"/>
  <c r="AM12" i="4" s="1"/>
  <c r="AL11" i="4"/>
  <c r="AL12" i="4" s="1"/>
  <c r="AK11" i="4"/>
  <c r="AK12" i="4" s="1"/>
  <c r="AJ11" i="4"/>
  <c r="AJ12" i="4" s="1"/>
  <c r="AI11" i="4"/>
  <c r="AI12" i="4" s="1"/>
  <c r="AH11" i="4"/>
  <c r="AH12" i="4" s="1"/>
  <c r="AG11" i="4"/>
  <c r="AG12" i="4" s="1"/>
  <c r="AF11" i="4"/>
  <c r="AF12" i="4" s="1"/>
  <c r="C72" i="4" s="1"/>
  <c r="AE11" i="4"/>
  <c r="AE12" i="4" s="1"/>
  <c r="AD11" i="4"/>
  <c r="AD12" i="4" s="1"/>
  <c r="AC11" i="4"/>
  <c r="AC12" i="4" s="1"/>
  <c r="AB11" i="4"/>
  <c r="AB12" i="4" s="1"/>
  <c r="AA11" i="4"/>
  <c r="AA12" i="4" s="1"/>
  <c r="Z11" i="4"/>
  <c r="Z12" i="4" s="1"/>
  <c r="Y11" i="4"/>
  <c r="Y12" i="4" s="1"/>
  <c r="X11" i="4"/>
  <c r="X12" i="4" s="1"/>
  <c r="W11" i="4"/>
  <c r="W12" i="4" s="1"/>
  <c r="V11" i="4"/>
  <c r="V12" i="4" s="1"/>
  <c r="U11" i="4"/>
  <c r="T11" i="4"/>
  <c r="S11" i="4"/>
  <c r="R11" i="4"/>
  <c r="Q11" i="4"/>
  <c r="P11" i="4"/>
  <c r="O11" i="4"/>
  <c r="N11" i="4"/>
  <c r="M11" i="4"/>
  <c r="L11" i="4"/>
  <c r="K11" i="4"/>
  <c r="J11" i="4"/>
  <c r="I11" i="4"/>
  <c r="H11" i="4"/>
  <c r="G11" i="4"/>
  <c r="F11" i="4"/>
  <c r="E11" i="4"/>
  <c r="D11" i="4"/>
  <c r="C11" i="4"/>
  <c r="B11" i="4"/>
  <c r="W10" i="4"/>
  <c r="I10" i="4"/>
  <c r="AN9" i="4"/>
  <c r="AM9" i="4"/>
  <c r="AL9" i="4"/>
  <c r="AK9" i="4"/>
  <c r="AJ9" i="4"/>
  <c r="AI9" i="4"/>
  <c r="AH9" i="4"/>
  <c r="AG9" i="4"/>
  <c r="AF9" i="4"/>
  <c r="AE9" i="4"/>
  <c r="AD9" i="4"/>
  <c r="AC9" i="4"/>
  <c r="AB9" i="4"/>
  <c r="AA9" i="4"/>
  <c r="Z9" i="4"/>
  <c r="Y9" i="4"/>
  <c r="X9" i="4"/>
  <c r="W9" i="4"/>
  <c r="V9" i="4"/>
  <c r="U9" i="4"/>
  <c r="T9" i="4"/>
  <c r="S9" i="4"/>
  <c r="R9" i="4"/>
  <c r="Q9" i="4"/>
  <c r="P9" i="4"/>
  <c r="O9" i="4"/>
  <c r="N9" i="4"/>
  <c r="M9" i="4"/>
  <c r="L9" i="4"/>
  <c r="K9" i="4"/>
  <c r="J9" i="4"/>
  <c r="I9" i="4"/>
  <c r="H9" i="4"/>
  <c r="G9" i="4"/>
  <c r="F9" i="4"/>
  <c r="E9" i="4"/>
  <c r="D9" i="4"/>
  <c r="C9" i="4"/>
  <c r="B9" i="4"/>
  <c r="D44" i="3"/>
  <c r="D43" i="3"/>
  <c r="D42" i="3"/>
  <c r="D41" i="3"/>
  <c r="G19" i="3"/>
  <c r="F19" i="3"/>
  <c r="E19" i="3"/>
  <c r="D19" i="3"/>
  <c r="C19" i="3"/>
  <c r="B19" i="3"/>
  <c r="K15" i="3"/>
  <c r="J15" i="3"/>
  <c r="I15" i="3"/>
  <c r="H15" i="3"/>
  <c r="G15" i="3"/>
  <c r="F15" i="3"/>
  <c r="E15" i="3"/>
  <c r="D15" i="3"/>
  <c r="C15" i="3"/>
  <c r="B15" i="3"/>
  <c r="K14" i="3"/>
  <c r="J14" i="3"/>
  <c r="I14" i="3"/>
  <c r="H14" i="3"/>
  <c r="G14" i="3"/>
  <c r="F14" i="3"/>
  <c r="E14" i="3"/>
  <c r="D14" i="3"/>
  <c r="C14" i="3"/>
  <c r="B14" i="3"/>
  <c r="K13" i="3"/>
  <c r="J13" i="3"/>
  <c r="I13" i="3"/>
  <c r="H13" i="3"/>
  <c r="G13" i="3"/>
  <c r="F13" i="3"/>
  <c r="E13" i="3"/>
  <c r="D13" i="3"/>
  <c r="C13" i="3"/>
  <c r="B13" i="3"/>
  <c r="K12" i="3"/>
  <c r="J12" i="3"/>
  <c r="I12" i="3"/>
  <c r="H12" i="3"/>
  <c r="G12" i="3"/>
  <c r="F12" i="3"/>
  <c r="E12" i="3"/>
  <c r="D12" i="3"/>
  <c r="C12" i="3"/>
  <c r="B12" i="3"/>
  <c r="K11" i="3"/>
  <c r="J11" i="3"/>
  <c r="I11" i="3"/>
  <c r="H11" i="3"/>
  <c r="G11" i="3"/>
  <c r="F11" i="3"/>
  <c r="E11" i="3"/>
  <c r="D11" i="3"/>
  <c r="C11" i="3"/>
  <c r="B11" i="3"/>
  <c r="K7" i="3"/>
  <c r="J7" i="3"/>
  <c r="I7" i="3"/>
  <c r="H7" i="3"/>
  <c r="G7" i="3"/>
  <c r="F7" i="3"/>
  <c r="E7" i="3"/>
  <c r="D7" i="3"/>
  <c r="C7" i="3"/>
  <c r="B7" i="3"/>
  <c r="K6" i="3"/>
  <c r="J6" i="3"/>
  <c r="I6" i="3"/>
  <c r="H6" i="3"/>
  <c r="G6" i="3"/>
  <c r="F6" i="3"/>
  <c r="E6" i="3"/>
  <c r="D6" i="3"/>
  <c r="C6" i="3"/>
  <c r="B6" i="3"/>
  <c r="F286" i="1"/>
  <c r="E286" i="1"/>
  <c r="D286" i="1"/>
  <c r="C286" i="1"/>
  <c r="B286" i="1"/>
  <c r="S262" i="1"/>
  <c r="R262" i="1"/>
  <c r="Q262" i="1"/>
  <c r="P262" i="1"/>
  <c r="S261" i="1"/>
  <c r="R261" i="1"/>
  <c r="Q261" i="1"/>
  <c r="P261" i="1"/>
  <c r="O261" i="1"/>
  <c r="N261" i="1"/>
  <c r="M261" i="1"/>
  <c r="S260" i="1"/>
  <c r="R260" i="1"/>
  <c r="Q260" i="1"/>
  <c r="P260" i="1"/>
  <c r="O260" i="1"/>
  <c r="N260" i="1"/>
  <c r="M260" i="1"/>
  <c r="G260" i="1"/>
  <c r="F260" i="1"/>
  <c r="C260" i="1"/>
  <c r="F239" i="1"/>
  <c r="E239" i="1"/>
  <c r="D239" i="1"/>
  <c r="C239" i="1"/>
  <c r="B239" i="1"/>
  <c r="F220" i="1"/>
  <c r="E220" i="1"/>
  <c r="D220" i="1"/>
  <c r="C220" i="1"/>
  <c r="B220" i="1"/>
  <c r="K154" i="1"/>
  <c r="K153" i="1"/>
  <c r="K152" i="1"/>
  <c r="K151" i="1"/>
  <c r="K150" i="1"/>
  <c r="K149" i="1"/>
  <c r="S148" i="1"/>
  <c r="Q148" i="1"/>
  <c r="O148" i="1"/>
  <c r="M148" i="1"/>
  <c r="L148" i="1"/>
  <c r="K145" i="1"/>
  <c r="K144" i="1"/>
  <c r="K143" i="1"/>
  <c r="K142" i="1"/>
  <c r="K141" i="1"/>
  <c r="K140" i="1"/>
  <c r="S139" i="1"/>
  <c r="Q139" i="1"/>
  <c r="O139" i="1"/>
  <c r="M139" i="1"/>
  <c r="L139" i="1"/>
  <c r="A9" i="1"/>
  <c r="K102" i="8"/>
  <c r="J102" i="8"/>
  <c r="K101" i="8"/>
  <c r="J101" i="8"/>
  <c r="U97" i="8"/>
  <c r="T97" i="8"/>
  <c r="S97" i="8"/>
  <c r="R97" i="8"/>
  <c r="AA97" i="8" s="1"/>
  <c r="Q97" i="8"/>
  <c r="P97" i="8"/>
  <c r="O97" i="8"/>
  <c r="N97" i="8"/>
  <c r="Z97" i="8" s="1"/>
  <c r="M97" i="8"/>
  <c r="L97" i="8"/>
  <c r="Y97" i="8" s="1"/>
  <c r="AA96" i="8"/>
  <c r="Z96" i="8"/>
  <c r="K96" i="8"/>
  <c r="J96" i="8"/>
  <c r="Y96" i="8" s="1"/>
  <c r="I96" i="8"/>
  <c r="H96" i="8"/>
  <c r="G96" i="8"/>
  <c r="F96" i="8"/>
  <c r="X96" i="8" s="1"/>
  <c r="E96" i="8"/>
  <c r="D96" i="8"/>
  <c r="C96" i="8"/>
  <c r="B96" i="8"/>
  <c r="W96" i="8" s="1"/>
  <c r="AA95" i="8"/>
  <c r="Z95" i="8"/>
  <c r="K95" i="8"/>
  <c r="J95" i="8"/>
  <c r="Y95" i="8" s="1"/>
  <c r="I95" i="8"/>
  <c r="H95" i="8"/>
  <c r="G95" i="8"/>
  <c r="F95" i="8"/>
  <c r="X95" i="8" s="1"/>
  <c r="E95" i="8"/>
  <c r="D95" i="8"/>
  <c r="C95" i="8"/>
  <c r="B95" i="8"/>
  <c r="W95" i="8" s="1"/>
  <c r="AA94" i="8"/>
  <c r="Z94" i="8"/>
  <c r="K94" i="8"/>
  <c r="J94" i="8"/>
  <c r="Y94" i="8" s="1"/>
  <c r="I94" i="8"/>
  <c r="H94" i="8"/>
  <c r="G94" i="8"/>
  <c r="F94" i="8"/>
  <c r="X94" i="8" s="1"/>
  <c r="E94" i="8"/>
  <c r="D94" i="8"/>
  <c r="C94" i="8"/>
  <c r="B94" i="8"/>
  <c r="W94" i="8" s="1"/>
  <c r="AA93" i="8"/>
  <c r="Z93" i="8"/>
  <c r="K93" i="8"/>
  <c r="J93" i="8"/>
  <c r="Y93" i="8" s="1"/>
  <c r="I93" i="8"/>
  <c r="H93" i="8"/>
  <c r="G93" i="8"/>
  <c r="F93" i="8"/>
  <c r="X93" i="8" s="1"/>
  <c r="E93" i="8"/>
  <c r="D93" i="8"/>
  <c r="C93" i="8"/>
  <c r="B93" i="8"/>
  <c r="W93" i="8" s="1"/>
  <c r="U92" i="8"/>
  <c r="U98" i="8" s="1"/>
  <c r="U75" i="8" s="1"/>
  <c r="T92" i="8"/>
  <c r="T98" i="8" s="1"/>
  <c r="T75" i="8" s="1"/>
  <c r="S92" i="8"/>
  <c r="S98" i="8" s="1"/>
  <c r="S75" i="8" s="1"/>
  <c r="R92" i="8"/>
  <c r="Q92" i="8"/>
  <c r="Q98" i="8" s="1"/>
  <c r="Q75" i="8" s="1"/>
  <c r="P92" i="8"/>
  <c r="P98" i="8" s="1"/>
  <c r="P75" i="8" s="1"/>
  <c r="O92" i="8"/>
  <c r="O98" i="8" s="1"/>
  <c r="O75" i="8" s="1"/>
  <c r="N92" i="8"/>
  <c r="M92" i="8"/>
  <c r="M98" i="8" s="1"/>
  <c r="M75" i="8" s="1"/>
  <c r="L92" i="8"/>
  <c r="L98" i="8" s="1"/>
  <c r="L75" i="8" s="1"/>
  <c r="K92" i="8"/>
  <c r="K98" i="8" s="1"/>
  <c r="J92" i="8"/>
  <c r="I92" i="8"/>
  <c r="I98" i="8" s="1"/>
  <c r="H92" i="8"/>
  <c r="H98" i="8" s="1"/>
  <c r="G92" i="8"/>
  <c r="G98" i="8" s="1"/>
  <c r="F92" i="8"/>
  <c r="E92" i="8"/>
  <c r="E98" i="8" s="1"/>
  <c r="D92" i="8"/>
  <c r="D98" i="8" s="1"/>
  <c r="C92" i="8"/>
  <c r="C98" i="8" s="1"/>
  <c r="B92" i="8"/>
  <c r="K75" i="8"/>
  <c r="J75" i="8"/>
  <c r="Y75" i="8" s="1"/>
  <c r="I75" i="8"/>
  <c r="H75" i="8"/>
  <c r="G75" i="8"/>
  <c r="F75" i="8"/>
  <c r="X75" i="8" s="1"/>
  <c r="E75" i="8"/>
  <c r="D75" i="8"/>
  <c r="C75" i="8"/>
  <c r="B75" i="8"/>
  <c r="W75" i="8" s="1"/>
  <c r="K74" i="8"/>
  <c r="J74" i="8"/>
  <c r="I74" i="8"/>
  <c r="H74" i="8"/>
  <c r="G74" i="8"/>
  <c r="K86" i="8" s="1"/>
  <c r="F74" i="8"/>
  <c r="E74" i="8"/>
  <c r="I86" i="8" s="1"/>
  <c r="D74" i="8"/>
  <c r="H86" i="8" s="1"/>
  <c r="C74" i="8"/>
  <c r="G86" i="8" s="1"/>
  <c r="B74" i="8"/>
  <c r="K73" i="8"/>
  <c r="J73" i="8"/>
  <c r="I73" i="8"/>
  <c r="H73" i="8"/>
  <c r="G73" i="8"/>
  <c r="F73" i="8"/>
  <c r="E73" i="8"/>
  <c r="D73" i="8"/>
  <c r="C73" i="8"/>
  <c r="B73" i="8"/>
  <c r="K57" i="8"/>
  <c r="J57" i="8"/>
  <c r="I57" i="8"/>
  <c r="H57" i="8"/>
  <c r="G57" i="8"/>
  <c r="F57" i="8"/>
  <c r="X57" i="8" s="1"/>
  <c r="E57" i="8"/>
  <c r="D57" i="8"/>
  <c r="C57" i="8"/>
  <c r="B57" i="8"/>
  <c r="W57" i="8" s="1"/>
  <c r="K56" i="8"/>
  <c r="J56" i="8"/>
  <c r="I56" i="8"/>
  <c r="H56" i="8"/>
  <c r="G56" i="8"/>
  <c r="F56" i="8"/>
  <c r="E56" i="8"/>
  <c r="D56" i="8"/>
  <c r="C56" i="8"/>
  <c r="B56" i="8"/>
  <c r="K55" i="8"/>
  <c r="J55" i="8"/>
  <c r="I55" i="8"/>
  <c r="H55" i="8"/>
  <c r="G55" i="8"/>
  <c r="F55" i="8"/>
  <c r="E55" i="8"/>
  <c r="D55" i="8"/>
  <c r="C55" i="8"/>
  <c r="B55" i="8"/>
  <c r="G46" i="8"/>
  <c r="K45" i="8"/>
  <c r="J45" i="8"/>
  <c r="I45" i="8"/>
  <c r="H45" i="8"/>
  <c r="F45" i="8"/>
  <c r="X45" i="8" s="1"/>
  <c r="E45" i="8"/>
  <c r="D45" i="8"/>
  <c r="C45" i="8"/>
  <c r="B45" i="8"/>
  <c r="W45" i="8" s="1"/>
  <c r="I44" i="8"/>
  <c r="H44" i="8"/>
  <c r="F44" i="8"/>
  <c r="X44" i="8" s="1"/>
  <c r="E44" i="8"/>
  <c r="D44" i="8"/>
  <c r="C44" i="8"/>
  <c r="B44" i="8"/>
  <c r="W44" i="8" s="1"/>
  <c r="I25" i="8"/>
  <c r="H25" i="8"/>
  <c r="G25" i="8"/>
  <c r="F25" i="8"/>
  <c r="X25" i="8" s="1"/>
  <c r="E25" i="8"/>
  <c r="I32" i="8" s="1"/>
  <c r="D25" i="8"/>
  <c r="H32" i="8" s="1"/>
  <c r="C25" i="8"/>
  <c r="G32" i="8" s="1"/>
  <c r="B25" i="8"/>
  <c r="I24" i="8"/>
  <c r="H24" i="8"/>
  <c r="G24" i="8"/>
  <c r="F24" i="8"/>
  <c r="X24" i="8" s="1"/>
  <c r="E24" i="8"/>
  <c r="I31" i="8" s="1"/>
  <c r="D24" i="8"/>
  <c r="H31" i="8" s="1"/>
  <c r="C24" i="8"/>
  <c r="G31" i="8" s="1"/>
  <c r="B24" i="8"/>
  <c r="I23" i="8"/>
  <c r="H23" i="8"/>
  <c r="G23" i="8"/>
  <c r="F23" i="8"/>
  <c r="X23" i="8" s="1"/>
  <c r="E23" i="8"/>
  <c r="I30" i="8" s="1"/>
  <c r="D23" i="8"/>
  <c r="H30" i="8" s="1"/>
  <c r="C23" i="8"/>
  <c r="G30" i="8" s="1"/>
  <c r="B23" i="8"/>
  <c r="I22" i="8"/>
  <c r="H22" i="8"/>
  <c r="G22" i="8"/>
  <c r="F22" i="8"/>
  <c r="E22" i="8"/>
  <c r="I29" i="8" s="1"/>
  <c r="D22" i="8"/>
  <c r="H29" i="8" s="1"/>
  <c r="C22" i="8"/>
  <c r="G29" i="8" s="1"/>
  <c r="B22" i="8"/>
  <c r="I21" i="8"/>
  <c r="I26" i="8" s="1"/>
  <c r="H21" i="8"/>
  <c r="H26" i="8" s="1"/>
  <c r="G21" i="8"/>
  <c r="E21" i="8"/>
  <c r="D21" i="8"/>
  <c r="C21" i="8"/>
  <c r="B21" i="8"/>
  <c r="K9" i="8"/>
  <c r="J9" i="8"/>
  <c r="I9" i="8"/>
  <c r="H9" i="8"/>
  <c r="G9" i="8"/>
  <c r="F9" i="8"/>
  <c r="E9" i="8"/>
  <c r="D9" i="8"/>
  <c r="C9" i="8"/>
  <c r="B9" i="8"/>
  <c r="K8" i="8"/>
  <c r="J8" i="8"/>
  <c r="I8" i="8"/>
  <c r="H8" i="8"/>
  <c r="G8" i="8"/>
  <c r="F8" i="8"/>
  <c r="E8" i="8"/>
  <c r="D8" i="8"/>
  <c r="C8" i="8"/>
  <c r="B8" i="8"/>
  <c r="C261" i="1" l="1"/>
  <c r="A43" i="14"/>
  <c r="C30" i="14"/>
  <c r="C22" i="14"/>
  <c r="B30" i="14"/>
  <c r="C21" i="14"/>
  <c r="B45" i="3"/>
  <c r="C20" i="14"/>
  <c r="C45" i="3" s="1"/>
  <c r="B44" i="3"/>
  <c r="F261" i="1"/>
  <c r="B37" i="14"/>
  <c r="D37" i="14" s="1"/>
  <c r="C19" i="14"/>
  <c r="C44" i="3" s="1"/>
  <c r="B130" i="13"/>
  <c r="B132" i="13" s="1"/>
  <c r="I79" i="13"/>
  <c r="E33" i="13"/>
  <c r="F31" i="13"/>
  <c r="L8" i="11"/>
  <c r="W27" i="11"/>
  <c r="C240" i="1"/>
  <c r="C245" i="1"/>
  <c r="B240" i="1"/>
  <c r="B245" i="1"/>
  <c r="B249" i="1" s="1"/>
  <c r="K15" i="12"/>
  <c r="J15" i="12"/>
  <c r="I15" i="12"/>
  <c r="H15" i="12"/>
  <c r="G15" i="12"/>
  <c r="X16" i="11"/>
  <c r="F15" i="12"/>
  <c r="E15" i="12"/>
  <c r="D15" i="12"/>
  <c r="C15" i="12"/>
  <c r="B25" i="11"/>
  <c r="B15" i="12"/>
  <c r="AC15" i="12" s="1"/>
  <c r="B26" i="11"/>
  <c r="B28" i="11" s="1"/>
  <c r="W16" i="11"/>
  <c r="N32" i="10"/>
  <c r="O32" i="10" s="1"/>
  <c r="P32" i="10" s="1"/>
  <c r="Q32" i="10" s="1"/>
  <c r="Y32" i="10"/>
  <c r="L30" i="10"/>
  <c r="K33" i="10"/>
  <c r="I33" i="10"/>
  <c r="I18" i="12" s="1"/>
  <c r="X30" i="10"/>
  <c r="X33" i="10" s="1"/>
  <c r="X18" i="12" s="1"/>
  <c r="W30" i="10"/>
  <c r="W33" i="10" s="1"/>
  <c r="W18" i="12" s="1"/>
  <c r="E33" i="10"/>
  <c r="E18" i="12" s="1"/>
  <c r="N27" i="10"/>
  <c r="O27" i="10" s="1"/>
  <c r="P27" i="10" s="1"/>
  <c r="Q27" i="10" s="1"/>
  <c r="Y27" i="10"/>
  <c r="N26" i="10"/>
  <c r="O26" i="10" s="1"/>
  <c r="P26" i="10" s="1"/>
  <c r="Q26" i="10" s="1"/>
  <c r="Y26" i="10"/>
  <c r="M25" i="10"/>
  <c r="M17" i="9"/>
  <c r="Y17" i="9" s="1"/>
  <c r="K38" i="7"/>
  <c r="X23" i="10"/>
  <c r="Z38" i="7" s="1"/>
  <c r="W23" i="10"/>
  <c r="Y38" i="7" s="1"/>
  <c r="G38" i="7"/>
  <c r="I24" i="10"/>
  <c r="I28" i="10" s="1"/>
  <c r="I34" i="10" s="1"/>
  <c r="X21" i="10"/>
  <c r="X24" i="10" s="1"/>
  <c r="X28" i="10" s="1"/>
  <c r="X34" i="10" s="1"/>
  <c r="W21" i="10"/>
  <c r="W24" i="10" s="1"/>
  <c r="W28" i="10" s="1"/>
  <c r="W34" i="10" s="1"/>
  <c r="E24" i="10"/>
  <c r="E28" i="10" s="1"/>
  <c r="E34" i="10" s="1"/>
  <c r="N17" i="10"/>
  <c r="O17" i="10" s="1"/>
  <c r="P17" i="10" s="1"/>
  <c r="Q17" i="10" s="1"/>
  <c r="Y17" i="10"/>
  <c r="M36" i="11"/>
  <c r="L16" i="12"/>
  <c r="N15" i="10"/>
  <c r="O15" i="10" s="1"/>
  <c r="P15" i="10" s="1"/>
  <c r="Q15" i="10" s="1"/>
  <c r="Y15" i="10"/>
  <c r="N14" i="10"/>
  <c r="O14" i="10" s="1"/>
  <c r="P14" i="10" s="1"/>
  <c r="Q14" i="10" s="1"/>
  <c r="Y14" i="10"/>
  <c r="N8" i="10"/>
  <c r="O8" i="10" s="1"/>
  <c r="P8" i="10" s="1"/>
  <c r="Q8" i="10" s="1"/>
  <c r="Y8" i="10"/>
  <c r="K19" i="10"/>
  <c r="K38" i="10"/>
  <c r="L37" i="7"/>
  <c r="M37" i="7" s="1"/>
  <c r="J12" i="10"/>
  <c r="I12" i="10"/>
  <c r="X7" i="10"/>
  <c r="K37" i="7"/>
  <c r="H12" i="10"/>
  <c r="J37" i="7"/>
  <c r="G12" i="10"/>
  <c r="I37" i="7"/>
  <c r="F12" i="10"/>
  <c r="H37" i="7"/>
  <c r="G37" i="7"/>
  <c r="W7" i="10"/>
  <c r="E12" i="10"/>
  <c r="F37" i="7"/>
  <c r="D12" i="10"/>
  <c r="E37" i="7"/>
  <c r="C12" i="10"/>
  <c r="D37" i="7"/>
  <c r="B12" i="10"/>
  <c r="J19" i="9"/>
  <c r="F19" i="9"/>
  <c r="X16" i="9"/>
  <c r="X19" i="9" s="1"/>
  <c r="B19" i="9"/>
  <c r="W16" i="9"/>
  <c r="W19" i="9" s="1"/>
  <c r="Y11" i="9"/>
  <c r="K36" i="7"/>
  <c r="Z36" i="7" s="1"/>
  <c r="X11" i="9"/>
  <c r="G36" i="7"/>
  <c r="Y36" i="7" s="1"/>
  <c r="C36" i="7"/>
  <c r="X36" i="7" s="1"/>
  <c r="W11" i="9"/>
  <c r="R46" i="9"/>
  <c r="AA46" i="9" s="1"/>
  <c r="H100" i="6" s="1"/>
  <c r="AA10" i="9"/>
  <c r="Z10" i="9"/>
  <c r="N46" i="9"/>
  <c r="Z46" i="9" s="1"/>
  <c r="G100" i="6" s="1"/>
  <c r="L35" i="7"/>
  <c r="K46" i="9"/>
  <c r="J46" i="9"/>
  <c r="Y46" i="9" s="1"/>
  <c r="F100" i="6" s="1"/>
  <c r="K35" i="7"/>
  <c r="Z35" i="7" s="1"/>
  <c r="Y10" i="9"/>
  <c r="I46" i="9"/>
  <c r="J35" i="7"/>
  <c r="I68" i="9"/>
  <c r="I35" i="7"/>
  <c r="H68" i="9"/>
  <c r="G46" i="9"/>
  <c r="G68" i="9"/>
  <c r="H35" i="7"/>
  <c r="X10" i="9"/>
  <c r="G35" i="7"/>
  <c r="Y35" i="7" s="1"/>
  <c r="F68" i="9"/>
  <c r="F46" i="9"/>
  <c r="F35" i="7"/>
  <c r="E68" i="9"/>
  <c r="E35" i="7"/>
  <c r="D68" i="9"/>
  <c r="W10" i="9"/>
  <c r="C35" i="7"/>
  <c r="X35" i="7" s="1"/>
  <c r="K41" i="10"/>
  <c r="K40" i="10"/>
  <c r="L47" i="7"/>
  <c r="L46" i="7"/>
  <c r="K46" i="7"/>
  <c r="J41" i="10"/>
  <c r="J40" i="10"/>
  <c r="K47" i="7"/>
  <c r="J46" i="7"/>
  <c r="I41" i="10"/>
  <c r="I40" i="10"/>
  <c r="J47" i="7"/>
  <c r="H41" i="10"/>
  <c r="I46" i="7"/>
  <c r="H40" i="10"/>
  <c r="I47" i="7"/>
  <c r="G40" i="10"/>
  <c r="H46" i="7"/>
  <c r="G41" i="10"/>
  <c r="H47" i="7"/>
  <c r="F41" i="10"/>
  <c r="G46" i="7"/>
  <c r="F40" i="10"/>
  <c r="G47" i="7"/>
  <c r="X8" i="9"/>
  <c r="F46" i="7"/>
  <c r="F47" i="7"/>
  <c r="E40" i="10"/>
  <c r="E41" i="10"/>
  <c r="E47" i="7"/>
  <c r="D41" i="10"/>
  <c r="D40" i="10"/>
  <c r="E46" i="7"/>
  <c r="D46" i="7"/>
  <c r="C41" i="10"/>
  <c r="C40" i="10"/>
  <c r="D47" i="7"/>
  <c r="C46" i="7"/>
  <c r="B41" i="10"/>
  <c r="B40" i="10"/>
  <c r="W8" i="9"/>
  <c r="C47" i="7"/>
  <c r="K9" i="9"/>
  <c r="L34" i="7"/>
  <c r="K24" i="9"/>
  <c r="L45" i="7"/>
  <c r="L52" i="7"/>
  <c r="L49" i="7"/>
  <c r="L48" i="7"/>
  <c r="E22" i="3"/>
  <c r="C70" i="4"/>
  <c r="AD5" i="5"/>
  <c r="K39" i="10"/>
  <c r="K49" i="7"/>
  <c r="J39" i="10"/>
  <c r="K48" i="7"/>
  <c r="J9" i="9"/>
  <c r="D22" i="3"/>
  <c r="K45" i="7"/>
  <c r="K52" i="7"/>
  <c r="J48" i="7"/>
  <c r="J49" i="7"/>
  <c r="J52" i="7"/>
  <c r="I39" i="10"/>
  <c r="I9" i="9"/>
  <c r="C22" i="3"/>
  <c r="J45" i="7"/>
  <c r="I24" i="9"/>
  <c r="J34" i="7"/>
  <c r="I45" i="7"/>
  <c r="H9" i="9"/>
  <c r="B18" i="14"/>
  <c r="H24" i="9"/>
  <c r="B22" i="3"/>
  <c r="I52" i="7"/>
  <c r="H39" i="10"/>
  <c r="I49" i="7"/>
  <c r="I48" i="7"/>
  <c r="I34" i="7"/>
  <c r="H48" i="7"/>
  <c r="G39" i="10"/>
  <c r="H49" i="7"/>
  <c r="H52" i="7"/>
  <c r="G9" i="9"/>
  <c r="G24" i="9" s="1"/>
  <c r="H45" i="7"/>
  <c r="H34" i="7"/>
  <c r="G48" i="7"/>
  <c r="G49" i="7"/>
  <c r="G45" i="7"/>
  <c r="F9" i="9"/>
  <c r="G52" i="7"/>
  <c r="F39" i="10"/>
  <c r="X7" i="9"/>
  <c r="F45" i="7"/>
  <c r="F52" i="7"/>
  <c r="F49" i="7"/>
  <c r="E9" i="9"/>
  <c r="E24" i="9" s="1"/>
  <c r="F34" i="7"/>
  <c r="E39" i="10"/>
  <c r="F48" i="7"/>
  <c r="E48" i="7"/>
  <c r="E45" i="7"/>
  <c r="D9" i="9"/>
  <c r="E34" i="7" s="1"/>
  <c r="E49" i="7"/>
  <c r="D24" i="9"/>
  <c r="E52" i="7"/>
  <c r="D39" i="10"/>
  <c r="D45" i="7"/>
  <c r="D48" i="7"/>
  <c r="D49" i="7"/>
  <c r="C9" i="9"/>
  <c r="C24" i="9"/>
  <c r="D52" i="7"/>
  <c r="C39" i="10"/>
  <c r="C52" i="7"/>
  <c r="C45" i="7"/>
  <c r="C49" i="7"/>
  <c r="C48" i="7"/>
  <c r="B39" i="10"/>
  <c r="B9" i="9"/>
  <c r="W7" i="9"/>
  <c r="O39" i="11"/>
  <c r="AA83" i="7"/>
  <c r="N38" i="11"/>
  <c r="AA82" i="7"/>
  <c r="Z82" i="7"/>
  <c r="L38" i="11"/>
  <c r="R16" i="7"/>
  <c r="AB16" i="7"/>
  <c r="AB17" i="7" s="1"/>
  <c r="N16" i="7"/>
  <c r="N15" i="7" s="1"/>
  <c r="AA16" i="7"/>
  <c r="AA17" i="7" s="1"/>
  <c r="M16" i="7"/>
  <c r="M15" i="7" s="1"/>
  <c r="Z16" i="7"/>
  <c r="H130" i="6"/>
  <c r="H129" i="6"/>
  <c r="G130" i="6"/>
  <c r="G129" i="6"/>
  <c r="F129" i="6"/>
  <c r="F130" i="6"/>
  <c r="E129" i="6"/>
  <c r="E132" i="6" s="1"/>
  <c r="E130" i="6"/>
  <c r="C129" i="6"/>
  <c r="C130" i="6"/>
  <c r="B129" i="6"/>
  <c r="B130" i="6"/>
  <c r="C112" i="6"/>
  <c r="C113" i="6"/>
  <c r="B112" i="6"/>
  <c r="B113" i="6"/>
  <c r="H113" i="6"/>
  <c r="H112" i="6"/>
  <c r="G113" i="6"/>
  <c r="G112" i="6"/>
  <c r="F113" i="6"/>
  <c r="F112" i="6"/>
  <c r="H99" i="6"/>
  <c r="H98" i="6"/>
  <c r="G99" i="6"/>
  <c r="G98" i="6"/>
  <c r="F99" i="6"/>
  <c r="F98" i="6"/>
  <c r="F101" i="6" s="1"/>
  <c r="C99" i="6"/>
  <c r="C98" i="6"/>
  <c r="C101" i="6" s="1"/>
  <c r="B99" i="6"/>
  <c r="B98" i="6"/>
  <c r="B101" i="6" s="1"/>
  <c r="C87" i="6"/>
  <c r="C88" i="6"/>
  <c r="B88" i="6"/>
  <c r="B87" i="6"/>
  <c r="H88" i="6"/>
  <c r="H87" i="6"/>
  <c r="G88" i="6"/>
  <c r="G87" i="6"/>
  <c r="F88" i="6"/>
  <c r="F87" i="6"/>
  <c r="E88" i="6"/>
  <c r="E87" i="6"/>
  <c r="C71" i="6"/>
  <c r="C70" i="6"/>
  <c r="C73" i="6" s="1"/>
  <c r="B71" i="6"/>
  <c r="B70" i="6"/>
  <c r="B73" i="6" s="1"/>
  <c r="H70" i="6"/>
  <c r="H73" i="6" s="1"/>
  <c r="K27" i="3" s="1"/>
  <c r="H71" i="6"/>
  <c r="G70" i="6"/>
  <c r="G71" i="6"/>
  <c r="F71" i="6"/>
  <c r="F70" i="6"/>
  <c r="E71" i="6"/>
  <c r="E70" i="6"/>
  <c r="C61" i="6"/>
  <c r="C60" i="6"/>
  <c r="B61" i="6"/>
  <c r="B60" i="6"/>
  <c r="H61" i="6"/>
  <c r="H60" i="6"/>
  <c r="G61" i="6"/>
  <c r="G60" i="6"/>
  <c r="F61" i="6"/>
  <c r="F60" i="6"/>
  <c r="E61" i="6"/>
  <c r="E60" i="6"/>
  <c r="H34" i="6"/>
  <c r="H33" i="6"/>
  <c r="H38" i="6"/>
  <c r="G34" i="6"/>
  <c r="G33" i="6"/>
  <c r="G38" i="6"/>
  <c r="F33" i="6"/>
  <c r="F38" i="6"/>
  <c r="F34" i="6"/>
  <c r="E34" i="6"/>
  <c r="E33" i="6"/>
  <c r="C34" i="6"/>
  <c r="C38" i="6"/>
  <c r="C33" i="6"/>
  <c r="B34" i="6"/>
  <c r="B38" i="6"/>
  <c r="B33" i="6"/>
  <c r="H15" i="6"/>
  <c r="H20" i="6"/>
  <c r="H16" i="6"/>
  <c r="G16" i="6"/>
  <c r="G15" i="6"/>
  <c r="G20" i="6"/>
  <c r="F16" i="6"/>
  <c r="F20" i="6"/>
  <c r="F15" i="6"/>
  <c r="E16" i="6"/>
  <c r="E15" i="6"/>
  <c r="C16" i="6"/>
  <c r="C15" i="6"/>
  <c r="C20" i="6"/>
  <c r="B16" i="6"/>
  <c r="B20" i="6"/>
  <c r="B15" i="6"/>
  <c r="AO17" i="5"/>
  <c r="AV17" i="5"/>
  <c r="Y17" i="5"/>
  <c r="T17" i="5"/>
  <c r="AO16" i="5"/>
  <c r="AV16" i="5"/>
  <c r="T16" i="5"/>
  <c r="AE16" i="5"/>
  <c r="S16" i="5"/>
  <c r="Y16" i="5" s="1"/>
  <c r="AW18" i="5"/>
  <c r="AW19" i="5"/>
  <c r="AW20" i="5"/>
  <c r="AW21" i="5"/>
  <c r="AU18" i="5"/>
  <c r="AU19" i="5"/>
  <c r="AS18" i="5"/>
  <c r="AS19" i="5"/>
  <c r="AQ18" i="5"/>
  <c r="AQ19" i="5"/>
  <c r="AO15" i="5"/>
  <c r="AV15" i="5"/>
  <c r="AM18" i="5"/>
  <c r="AM19" i="5"/>
  <c r="AK18" i="5"/>
  <c r="AK19" i="5"/>
  <c r="AD21" i="5"/>
  <c r="AD20" i="5"/>
  <c r="AD19" i="5"/>
  <c r="AD18" i="5"/>
  <c r="AC21" i="5"/>
  <c r="AC18" i="5"/>
  <c r="AC19" i="5"/>
  <c r="AC20" i="5"/>
  <c r="AB21" i="5"/>
  <c r="AB18" i="5"/>
  <c r="AB19" i="5"/>
  <c r="AB20" i="5"/>
  <c r="AA18" i="5"/>
  <c r="AA19" i="5"/>
  <c r="AA20" i="5"/>
  <c r="AA21" i="5"/>
  <c r="Z18" i="5"/>
  <c r="Z19" i="5"/>
  <c r="Z20" i="5"/>
  <c r="Z21" i="5"/>
  <c r="U18" i="5"/>
  <c r="U21" i="5"/>
  <c r="U19" i="5"/>
  <c r="U20" i="5"/>
  <c r="R18" i="5"/>
  <c r="R19" i="5"/>
  <c r="T15" i="5"/>
  <c r="AE15" i="5"/>
  <c r="S15" i="5"/>
  <c r="Y15" i="5" s="1"/>
  <c r="X18" i="5"/>
  <c r="X19" i="5"/>
  <c r="K18" i="5"/>
  <c r="K19" i="5"/>
  <c r="AV10" i="5"/>
  <c r="AO10" i="5"/>
  <c r="Y10" i="5"/>
  <c r="T10" i="5"/>
  <c r="AE10" i="5"/>
  <c r="S10" i="5"/>
  <c r="AV9" i="5"/>
  <c r="AO9" i="5"/>
  <c r="T9" i="5"/>
  <c r="AE9" i="5"/>
  <c r="S9" i="5"/>
  <c r="Y9" i="5" s="1"/>
  <c r="AO8" i="5"/>
  <c r="AV8" i="5"/>
  <c r="T8" i="5"/>
  <c r="AE8" i="5"/>
  <c r="S8" i="5"/>
  <c r="Y8" i="5" s="1"/>
  <c r="AV7" i="5"/>
  <c r="AO7" i="5"/>
  <c r="T7" i="5"/>
  <c r="AE7" i="5"/>
  <c r="S7" i="5"/>
  <c r="Y7" i="5" s="1"/>
  <c r="AW12" i="5"/>
  <c r="AW11" i="5"/>
  <c r="AU11" i="5"/>
  <c r="AU12" i="5"/>
  <c r="AU20" i="5"/>
  <c r="AU21" i="5"/>
  <c r="AS11" i="5"/>
  <c r="AS12" i="5"/>
  <c r="AS20" i="5"/>
  <c r="AS21" i="5"/>
  <c r="AQ11" i="5"/>
  <c r="AQ12" i="5"/>
  <c r="AQ20" i="5"/>
  <c r="AQ21" i="5"/>
  <c r="AV6" i="5"/>
  <c r="AO6" i="5"/>
  <c r="AM11" i="5"/>
  <c r="AM12" i="5"/>
  <c r="AM20" i="5"/>
  <c r="AM21" i="5"/>
  <c r="AK11" i="5"/>
  <c r="AK12" i="5"/>
  <c r="AK20" i="5"/>
  <c r="AK21" i="5"/>
  <c r="AD11" i="5"/>
  <c r="AD12" i="5"/>
  <c r="AC12" i="5"/>
  <c r="AC11" i="5"/>
  <c r="AB11" i="5"/>
  <c r="AB12" i="5"/>
  <c r="AA12" i="5"/>
  <c r="AA11" i="5"/>
  <c r="Z12" i="5"/>
  <c r="Z11" i="5"/>
  <c r="U12" i="5"/>
  <c r="U11" i="5"/>
  <c r="R11" i="5"/>
  <c r="R12" i="5"/>
  <c r="R20" i="5"/>
  <c r="R21" i="5"/>
  <c r="B16" i="14" s="1"/>
  <c r="C16" i="14" s="1"/>
  <c r="T6" i="5"/>
  <c r="S6" i="5"/>
  <c r="Y6" i="5" s="1"/>
  <c r="AE6" i="5"/>
  <c r="X11" i="5"/>
  <c r="X12" i="5"/>
  <c r="X20" i="5"/>
  <c r="X21" i="5"/>
  <c r="B17" i="14" s="1"/>
  <c r="K11" i="5"/>
  <c r="K12" i="5"/>
  <c r="K20" i="5"/>
  <c r="K21" i="5"/>
  <c r="T5" i="5"/>
  <c r="S5" i="5"/>
  <c r="AE5" i="5"/>
  <c r="C71" i="4"/>
  <c r="D72" i="4"/>
  <c r="AM49" i="4"/>
  <c r="AM48" i="4"/>
  <c r="AL49" i="4"/>
  <c r="AL48" i="4"/>
  <c r="AK49" i="4"/>
  <c r="AK48" i="4"/>
  <c r="AJ49" i="4"/>
  <c r="AJ48" i="4"/>
  <c r="AI48" i="4"/>
  <c r="AI49" i="4"/>
  <c r="AH49" i="4"/>
  <c r="AH48" i="4"/>
  <c r="AG49" i="4"/>
  <c r="AG48" i="4"/>
  <c r="AF49" i="4"/>
  <c r="AF48" i="4"/>
  <c r="AE49" i="4"/>
  <c r="AE48" i="4"/>
  <c r="AD49" i="4"/>
  <c r="AD48" i="4"/>
  <c r="AC49" i="4"/>
  <c r="AC48" i="4"/>
  <c r="AB48" i="4"/>
  <c r="AB49" i="4"/>
  <c r="AA49" i="4"/>
  <c r="AA48" i="4"/>
  <c r="Z49" i="4"/>
  <c r="Z48" i="4"/>
  <c r="Y49" i="4"/>
  <c r="Y48" i="4"/>
  <c r="X49" i="4"/>
  <c r="X48" i="4"/>
  <c r="W49" i="4"/>
  <c r="W48" i="4"/>
  <c r="V49" i="4"/>
  <c r="V48" i="4"/>
  <c r="U49" i="4"/>
  <c r="U48" i="4"/>
  <c r="T49" i="4"/>
  <c r="T48" i="4"/>
  <c r="S49" i="4"/>
  <c r="S48" i="4"/>
  <c r="R49" i="4"/>
  <c r="R48" i="4"/>
  <c r="Q48" i="4"/>
  <c r="Q49" i="4"/>
  <c r="P49" i="4"/>
  <c r="P48" i="4"/>
  <c r="O49" i="4"/>
  <c r="O48" i="4"/>
  <c r="N49" i="4"/>
  <c r="N48" i="4"/>
  <c r="M49" i="4"/>
  <c r="M48" i="4"/>
  <c r="L48" i="4"/>
  <c r="L49" i="4"/>
  <c r="K49" i="4"/>
  <c r="K48" i="4"/>
  <c r="J49" i="4"/>
  <c r="J48" i="4"/>
  <c r="I48" i="4"/>
  <c r="I49" i="4"/>
  <c r="H48" i="4"/>
  <c r="H49" i="4"/>
  <c r="G49" i="4"/>
  <c r="G48" i="4"/>
  <c r="F49" i="4"/>
  <c r="F48" i="4"/>
  <c r="E48" i="4"/>
  <c r="E49" i="4"/>
  <c r="D49" i="4"/>
  <c r="D48" i="4"/>
  <c r="C49" i="4"/>
  <c r="C48" i="4"/>
  <c r="B48" i="4"/>
  <c r="B49" i="4"/>
  <c r="AK44" i="4"/>
  <c r="AK45" i="4"/>
  <c r="AJ44" i="4"/>
  <c r="AJ45" i="4"/>
  <c r="AI45" i="4"/>
  <c r="AI44" i="4"/>
  <c r="AH45" i="4"/>
  <c r="AH44" i="4"/>
  <c r="AG45" i="4"/>
  <c r="AG44" i="4"/>
  <c r="AF44" i="4"/>
  <c r="AF45" i="4"/>
  <c r="AE44" i="4"/>
  <c r="AE45" i="4"/>
  <c r="AD44" i="4"/>
  <c r="AD45" i="4"/>
  <c r="AC45" i="4"/>
  <c r="AC44" i="4"/>
  <c r="AB44" i="4"/>
  <c r="AB45" i="4"/>
  <c r="AA45" i="4"/>
  <c r="AA44" i="4"/>
  <c r="Z44" i="4"/>
  <c r="Z45" i="4"/>
  <c r="Y45" i="4"/>
  <c r="Y44" i="4"/>
  <c r="X44" i="4"/>
  <c r="X45" i="4"/>
  <c r="W45" i="4"/>
  <c r="W44" i="4"/>
  <c r="V44" i="4"/>
  <c r="V45" i="4"/>
  <c r="U45" i="4"/>
  <c r="U44" i="4"/>
  <c r="T45" i="4"/>
  <c r="T44" i="4"/>
  <c r="S44" i="4"/>
  <c r="S45" i="4"/>
  <c r="R45" i="4"/>
  <c r="R44" i="4"/>
  <c r="Q45" i="4"/>
  <c r="Q44" i="4"/>
  <c r="P45" i="4"/>
  <c r="P44" i="4"/>
  <c r="O45" i="4"/>
  <c r="O44" i="4"/>
  <c r="N45" i="4"/>
  <c r="N44" i="4"/>
  <c r="M44" i="4"/>
  <c r="M45" i="4"/>
  <c r="L44" i="4"/>
  <c r="L45" i="4"/>
  <c r="K44" i="4"/>
  <c r="K45" i="4"/>
  <c r="J45" i="4"/>
  <c r="J44" i="4"/>
  <c r="I45" i="4"/>
  <c r="I44" i="4"/>
  <c r="H44" i="4"/>
  <c r="H45" i="4"/>
  <c r="G45" i="4"/>
  <c r="G44" i="4"/>
  <c r="D44" i="4"/>
  <c r="D45" i="4"/>
  <c r="C45" i="4"/>
  <c r="C44" i="4"/>
  <c r="B45" i="4"/>
  <c r="B44" i="4"/>
  <c r="AM32" i="4"/>
  <c r="AM33" i="4"/>
  <c r="AL33" i="4"/>
  <c r="AL32" i="4"/>
  <c r="AK32" i="4"/>
  <c r="AK33" i="4"/>
  <c r="AJ32" i="4"/>
  <c r="AJ33" i="4"/>
  <c r="AI32" i="4"/>
  <c r="AI33" i="4"/>
  <c r="AH32" i="4"/>
  <c r="AH33" i="4"/>
  <c r="AG33" i="4"/>
  <c r="AG32" i="4"/>
  <c r="AF33" i="4"/>
  <c r="AF32" i="4"/>
  <c r="AE32" i="4"/>
  <c r="AE33" i="4"/>
  <c r="AD32" i="4"/>
  <c r="AD33" i="4"/>
  <c r="AC32" i="4"/>
  <c r="AC33" i="4"/>
  <c r="AB32" i="4"/>
  <c r="AB33" i="4"/>
  <c r="AA32" i="4"/>
  <c r="AA33" i="4"/>
  <c r="Z32" i="4"/>
  <c r="Z33" i="4"/>
  <c r="Y32" i="4"/>
  <c r="Y33" i="4"/>
  <c r="X32" i="4"/>
  <c r="X33" i="4"/>
  <c r="W33" i="4"/>
  <c r="W32" i="4"/>
  <c r="V32" i="4"/>
  <c r="V33" i="4"/>
  <c r="U32" i="4"/>
  <c r="U33" i="4"/>
  <c r="T32" i="4"/>
  <c r="T33" i="4"/>
  <c r="S32" i="4"/>
  <c r="S33" i="4"/>
  <c r="R32" i="4"/>
  <c r="R33" i="4"/>
  <c r="Q32" i="4"/>
  <c r="Q33" i="4"/>
  <c r="P33" i="4"/>
  <c r="P32" i="4"/>
  <c r="O32" i="4"/>
  <c r="O33" i="4"/>
  <c r="N33" i="4"/>
  <c r="N32" i="4"/>
  <c r="M33" i="4"/>
  <c r="M32" i="4"/>
  <c r="L32" i="4"/>
  <c r="L33" i="4"/>
  <c r="K33" i="4"/>
  <c r="K32" i="4"/>
  <c r="J33" i="4"/>
  <c r="J32" i="4"/>
  <c r="I33" i="4"/>
  <c r="I32" i="4"/>
  <c r="H33" i="4"/>
  <c r="H32" i="4"/>
  <c r="G33" i="4"/>
  <c r="G32" i="4"/>
  <c r="F33" i="4"/>
  <c r="F32" i="4"/>
  <c r="E33" i="4"/>
  <c r="E32" i="4"/>
  <c r="D33" i="4"/>
  <c r="D32" i="4"/>
  <c r="C32" i="4"/>
  <c r="C33" i="4"/>
  <c r="B33" i="4"/>
  <c r="B32" i="4"/>
  <c r="AM28" i="4"/>
  <c r="AM29" i="4"/>
  <c r="AL28" i="4"/>
  <c r="AL29" i="4"/>
  <c r="AK28" i="4"/>
  <c r="AK29" i="4"/>
  <c r="AJ28" i="4"/>
  <c r="AJ29" i="4"/>
  <c r="AI28" i="4"/>
  <c r="AI29" i="4"/>
  <c r="AH28" i="4"/>
  <c r="AH29" i="4"/>
  <c r="AG28" i="4"/>
  <c r="AG29" i="4"/>
  <c r="AF28" i="4"/>
  <c r="AF29" i="4"/>
  <c r="AE28" i="4"/>
  <c r="AE29" i="4"/>
  <c r="AD28" i="4"/>
  <c r="AD29" i="4"/>
  <c r="AC28" i="4"/>
  <c r="AC29" i="4"/>
  <c r="AB29" i="4"/>
  <c r="AB28" i="4"/>
  <c r="AA29" i="4"/>
  <c r="AA28" i="4"/>
  <c r="Z29" i="4"/>
  <c r="Z28" i="4"/>
  <c r="Y28" i="4"/>
  <c r="Y29" i="4"/>
  <c r="X29" i="4"/>
  <c r="X28" i="4"/>
  <c r="W29" i="4"/>
  <c r="W28" i="4"/>
  <c r="V29" i="4"/>
  <c r="V28" i="4"/>
  <c r="U29" i="4"/>
  <c r="U28" i="4"/>
  <c r="T29" i="4"/>
  <c r="T28" i="4"/>
  <c r="S29" i="4"/>
  <c r="S28" i="4"/>
  <c r="R29" i="4"/>
  <c r="R28" i="4"/>
  <c r="Q29" i="4"/>
  <c r="Q28" i="4"/>
  <c r="P29" i="4"/>
  <c r="P28" i="4"/>
  <c r="O29" i="4"/>
  <c r="O28" i="4"/>
  <c r="N28" i="4"/>
  <c r="N29" i="4"/>
  <c r="M28" i="4"/>
  <c r="M29" i="4"/>
  <c r="L28" i="4"/>
  <c r="L29" i="4"/>
  <c r="K28" i="4"/>
  <c r="K29" i="4"/>
  <c r="J29" i="4"/>
  <c r="J28" i="4"/>
  <c r="I29" i="4"/>
  <c r="I28" i="4"/>
  <c r="H29" i="4"/>
  <c r="H28" i="4"/>
  <c r="G29" i="4"/>
  <c r="G28" i="4"/>
  <c r="F29" i="4"/>
  <c r="F28" i="4"/>
  <c r="E28" i="4"/>
  <c r="E29" i="4"/>
  <c r="D29" i="4"/>
  <c r="D28" i="4"/>
  <c r="C29" i="4"/>
  <c r="C28" i="4"/>
  <c r="B29" i="4"/>
  <c r="B28" i="4"/>
  <c r="B59" i="4" s="1"/>
  <c r="AM23" i="4"/>
  <c r="AM22" i="4"/>
  <c r="AL22" i="4"/>
  <c r="AL23" i="4"/>
  <c r="AK22" i="4"/>
  <c r="AK23" i="4"/>
  <c r="AJ22" i="4"/>
  <c r="AJ23" i="4"/>
  <c r="AI22" i="4"/>
  <c r="AI23" i="4"/>
  <c r="AH22" i="4"/>
  <c r="AH23" i="4"/>
  <c r="AG23" i="4"/>
  <c r="AG22" i="4"/>
  <c r="AF23" i="4"/>
  <c r="AF22" i="4"/>
  <c r="AE23" i="4"/>
  <c r="AE22" i="4"/>
  <c r="AD23" i="4"/>
  <c r="AD22" i="4"/>
  <c r="AC23" i="4"/>
  <c r="AC22" i="4"/>
  <c r="AB23" i="4"/>
  <c r="AB22" i="4"/>
  <c r="AA23" i="4"/>
  <c r="AA22" i="4"/>
  <c r="Z22" i="4"/>
  <c r="Z23" i="4"/>
  <c r="Y22" i="4"/>
  <c r="Y23" i="4"/>
  <c r="X22" i="4"/>
  <c r="X23" i="4"/>
  <c r="W22" i="4"/>
  <c r="W23" i="4"/>
  <c r="V22" i="4"/>
  <c r="V23" i="4"/>
  <c r="U22" i="4"/>
  <c r="U23" i="4"/>
  <c r="T22" i="4"/>
  <c r="T23" i="4"/>
  <c r="S22" i="4"/>
  <c r="S23" i="4"/>
  <c r="R22" i="4"/>
  <c r="R23" i="4"/>
  <c r="Q23" i="4"/>
  <c r="Q22" i="4"/>
  <c r="P22" i="4"/>
  <c r="P23" i="4"/>
  <c r="O23" i="4"/>
  <c r="O22" i="4"/>
  <c r="N23" i="4"/>
  <c r="N22" i="4"/>
  <c r="M23" i="4"/>
  <c r="M22" i="4"/>
  <c r="L22" i="4"/>
  <c r="L23" i="4"/>
  <c r="K23" i="4"/>
  <c r="K22" i="4"/>
  <c r="J23" i="4"/>
  <c r="J22" i="4"/>
  <c r="I23" i="4"/>
  <c r="I22" i="4"/>
  <c r="H22" i="4"/>
  <c r="H23" i="4"/>
  <c r="G22" i="4"/>
  <c r="G23" i="4"/>
  <c r="F23" i="4"/>
  <c r="F22" i="4"/>
  <c r="E23" i="4"/>
  <c r="E22" i="4"/>
  <c r="D23" i="4"/>
  <c r="D22" i="4"/>
  <c r="C23" i="4"/>
  <c r="C22" i="4"/>
  <c r="B23" i="4"/>
  <c r="B22" i="4"/>
  <c r="AM18" i="4"/>
  <c r="AM19" i="4"/>
  <c r="AL18" i="4"/>
  <c r="AL19" i="4"/>
  <c r="AK19" i="4"/>
  <c r="AK18" i="4"/>
  <c r="AJ18" i="4"/>
  <c r="AJ19" i="4"/>
  <c r="AI18" i="4"/>
  <c r="AI19" i="4"/>
  <c r="AH19" i="4"/>
  <c r="AH18" i="4"/>
  <c r="AG18" i="4"/>
  <c r="AG19" i="4"/>
  <c r="AF18" i="4"/>
  <c r="AF19" i="4"/>
  <c r="AE18" i="4"/>
  <c r="AE19" i="4"/>
  <c r="AD18" i="4"/>
  <c r="AD19" i="4"/>
  <c r="AC19" i="4"/>
  <c r="AC18" i="4"/>
  <c r="AB19" i="4"/>
  <c r="AB18" i="4"/>
  <c r="AA19" i="4"/>
  <c r="AA18" i="4"/>
  <c r="Z19" i="4"/>
  <c r="Z18" i="4"/>
  <c r="Y18" i="4"/>
  <c r="Y19" i="4"/>
  <c r="X18" i="4"/>
  <c r="X19" i="4"/>
  <c r="W18" i="4"/>
  <c r="W19" i="4"/>
  <c r="V19" i="4"/>
  <c r="V18" i="4"/>
  <c r="U18" i="4"/>
  <c r="U19" i="4"/>
  <c r="T18" i="4"/>
  <c r="T19" i="4"/>
  <c r="S18" i="4"/>
  <c r="S19" i="4"/>
  <c r="R19" i="4"/>
  <c r="R18" i="4"/>
  <c r="Q19" i="4"/>
  <c r="Q18" i="4"/>
  <c r="P19" i="4"/>
  <c r="P18" i="4"/>
  <c r="O19" i="4"/>
  <c r="O18" i="4"/>
  <c r="N18" i="4"/>
  <c r="N19" i="4"/>
  <c r="M19" i="4"/>
  <c r="M18" i="4"/>
  <c r="L18" i="4"/>
  <c r="L19" i="4"/>
  <c r="K19" i="4"/>
  <c r="K18" i="4"/>
  <c r="J19" i="4"/>
  <c r="J18" i="4"/>
  <c r="I19" i="4"/>
  <c r="I18" i="4"/>
  <c r="H19" i="4"/>
  <c r="H18" i="4"/>
  <c r="G18" i="4"/>
  <c r="G19" i="4"/>
  <c r="F19" i="4"/>
  <c r="F18" i="4"/>
  <c r="E19" i="4"/>
  <c r="E18" i="4"/>
  <c r="D19" i="4"/>
  <c r="D18" i="4"/>
  <c r="C19" i="4"/>
  <c r="C18" i="4"/>
  <c r="B18" i="4"/>
  <c r="B19" i="4"/>
  <c r="B66" i="4"/>
  <c r="C66" i="4"/>
  <c r="C69" i="4" s="1"/>
  <c r="D66" i="4"/>
  <c r="U12" i="4"/>
  <c r="U13" i="4"/>
  <c r="T13" i="4"/>
  <c r="T12" i="4"/>
  <c r="S13" i="4"/>
  <c r="S12" i="4"/>
  <c r="R13" i="4"/>
  <c r="R12" i="4"/>
  <c r="Q13" i="4"/>
  <c r="Q12" i="4"/>
  <c r="P13" i="4"/>
  <c r="P12" i="4"/>
  <c r="O13" i="4"/>
  <c r="O12" i="4"/>
  <c r="N13" i="4"/>
  <c r="N12" i="4"/>
  <c r="M13" i="4"/>
  <c r="M12" i="4"/>
  <c r="L13" i="4"/>
  <c r="L12" i="4"/>
  <c r="K12" i="4"/>
  <c r="K13" i="4"/>
  <c r="J12" i="4"/>
  <c r="J13" i="4"/>
  <c r="I12" i="4"/>
  <c r="I13" i="4"/>
  <c r="H12" i="4"/>
  <c r="H13" i="4"/>
  <c r="G12" i="4"/>
  <c r="G13" i="4"/>
  <c r="F12" i="4"/>
  <c r="F13" i="4"/>
  <c r="E13" i="4"/>
  <c r="E12" i="4"/>
  <c r="D12" i="4"/>
  <c r="D13" i="4"/>
  <c r="C13" i="4"/>
  <c r="C12" i="4"/>
  <c r="B12" i="4"/>
  <c r="B13" i="4"/>
  <c r="K103" i="8"/>
  <c r="J103" i="8"/>
  <c r="AA92" i="8"/>
  <c r="AA98" i="8" s="1"/>
  <c r="R98" i="8"/>
  <c r="R75" i="8" s="1"/>
  <c r="AA75" i="8" s="1"/>
  <c r="N98" i="8"/>
  <c r="N75" i="8" s="1"/>
  <c r="Z75" i="8" s="1"/>
  <c r="Z92" i="8"/>
  <c r="Z98" i="8" s="1"/>
  <c r="J98" i="8"/>
  <c r="Y92" i="8"/>
  <c r="Y98" i="8" s="1"/>
  <c r="F98" i="8"/>
  <c r="X92" i="8"/>
  <c r="X98" i="8" s="1"/>
  <c r="W92" i="8"/>
  <c r="W98" i="8" s="1"/>
  <c r="B98" i="8"/>
  <c r="J86" i="8"/>
  <c r="X74" i="8"/>
  <c r="F86" i="8"/>
  <c r="W74" i="8"/>
  <c r="X86" i="8" s="1"/>
  <c r="K76" i="8"/>
  <c r="K88" i="8"/>
  <c r="K89" i="8"/>
  <c r="J76" i="8"/>
  <c r="J88" i="8"/>
  <c r="J89" i="8"/>
  <c r="I88" i="8"/>
  <c r="I76" i="8"/>
  <c r="I89" i="8"/>
  <c r="H89" i="8"/>
  <c r="H88" i="8"/>
  <c r="H76" i="8"/>
  <c r="G88" i="8"/>
  <c r="G76" i="8"/>
  <c r="G89" i="8"/>
  <c r="K85" i="8"/>
  <c r="F88" i="8"/>
  <c r="J85" i="8"/>
  <c r="F76" i="8"/>
  <c r="F89" i="8"/>
  <c r="X73" i="8"/>
  <c r="I85" i="8"/>
  <c r="E76" i="8"/>
  <c r="E89" i="8"/>
  <c r="E88" i="8"/>
  <c r="D76" i="8"/>
  <c r="D89" i="8"/>
  <c r="D88" i="8"/>
  <c r="H85" i="8"/>
  <c r="C89" i="8"/>
  <c r="C88" i="8"/>
  <c r="G85" i="8"/>
  <c r="C76" i="8"/>
  <c r="F85" i="8"/>
  <c r="W73" i="8"/>
  <c r="B89" i="8"/>
  <c r="B88" i="8"/>
  <c r="B76" i="8"/>
  <c r="O56" i="8"/>
  <c r="L29" i="7"/>
  <c r="O64" i="8"/>
  <c r="E21" i="3"/>
  <c r="K79" i="8"/>
  <c r="N56" i="8"/>
  <c r="D21" i="3"/>
  <c r="K29" i="7"/>
  <c r="N64" i="8"/>
  <c r="J79" i="8"/>
  <c r="I79" i="8"/>
  <c r="M56" i="8"/>
  <c r="C21" i="3"/>
  <c r="M64" i="8"/>
  <c r="J29" i="7"/>
  <c r="I29" i="7"/>
  <c r="H79" i="8"/>
  <c r="B21" i="3"/>
  <c r="L56" i="8"/>
  <c r="Y56" i="8" s="1"/>
  <c r="L64" i="8"/>
  <c r="G79" i="8"/>
  <c r="H29" i="7"/>
  <c r="K64" i="8"/>
  <c r="X56" i="8"/>
  <c r="J64" i="8"/>
  <c r="G29" i="7"/>
  <c r="F79" i="8"/>
  <c r="F29" i="7"/>
  <c r="E79" i="8"/>
  <c r="I64" i="8"/>
  <c r="H64" i="8"/>
  <c r="E29" i="7"/>
  <c r="D79" i="8"/>
  <c r="G64" i="8"/>
  <c r="D29" i="7"/>
  <c r="C79" i="8"/>
  <c r="F64" i="8"/>
  <c r="C29" i="7"/>
  <c r="W56" i="8"/>
  <c r="B79" i="8"/>
  <c r="K58" i="8"/>
  <c r="L28" i="7"/>
  <c r="K78" i="8"/>
  <c r="E20" i="3"/>
  <c r="J58" i="8"/>
  <c r="D20" i="3"/>
  <c r="K28" i="7"/>
  <c r="J78" i="8"/>
  <c r="I78" i="8"/>
  <c r="I58" i="8"/>
  <c r="C20" i="3"/>
  <c r="J28" i="7"/>
  <c r="H78" i="8"/>
  <c r="H58" i="8"/>
  <c r="B20" i="3"/>
  <c r="I28" i="7"/>
  <c r="G78" i="8"/>
  <c r="H28" i="7"/>
  <c r="K63" i="8"/>
  <c r="G58" i="8"/>
  <c r="J63" i="8"/>
  <c r="X55" i="8"/>
  <c r="F58" i="8"/>
  <c r="F78" i="8"/>
  <c r="G28" i="7"/>
  <c r="I63" i="8"/>
  <c r="F28" i="7"/>
  <c r="E58" i="8"/>
  <c r="E78" i="8"/>
  <c r="E28" i="7"/>
  <c r="H63" i="8"/>
  <c r="D58" i="8"/>
  <c r="D78" i="8"/>
  <c r="D28" i="7"/>
  <c r="G63" i="8"/>
  <c r="C58" i="8"/>
  <c r="C78" i="8"/>
  <c r="B58" i="8"/>
  <c r="B78" i="8"/>
  <c r="F63" i="8"/>
  <c r="C28" i="7"/>
  <c r="W55" i="8"/>
  <c r="G48" i="8"/>
  <c r="G49" i="8" s="1"/>
  <c r="H21" i="7" s="1"/>
  <c r="G47" i="8"/>
  <c r="K53" i="8"/>
  <c r="J53" i="8"/>
  <c r="I53" i="8"/>
  <c r="H53" i="8"/>
  <c r="C226" i="1"/>
  <c r="C272" i="1"/>
  <c r="B226" i="1"/>
  <c r="Y19" i="7"/>
  <c r="J18" i="7"/>
  <c r="M44" i="8"/>
  <c r="I52" i="8"/>
  <c r="I46" i="8"/>
  <c r="I18" i="7"/>
  <c r="H46" i="8"/>
  <c r="L44" i="8"/>
  <c r="H52" i="8"/>
  <c r="C225" i="1"/>
  <c r="B272" i="1"/>
  <c r="Y18" i="7"/>
  <c r="B225" i="1"/>
  <c r="Y17" i="7"/>
  <c r="Y15" i="7" s="1"/>
  <c r="W25" i="8"/>
  <c r="F32" i="8"/>
  <c r="W24" i="8"/>
  <c r="F31" i="8"/>
  <c r="W23" i="8"/>
  <c r="F30" i="8"/>
  <c r="F26" i="8"/>
  <c r="X22" i="8"/>
  <c r="W22" i="8"/>
  <c r="F29" i="8"/>
  <c r="I35" i="8"/>
  <c r="I37" i="8"/>
  <c r="I38" i="8"/>
  <c r="I39" i="8"/>
  <c r="I36" i="8"/>
  <c r="I40" i="8"/>
  <c r="I10" i="8"/>
  <c r="H36" i="8"/>
  <c r="H39" i="8"/>
  <c r="H10" i="8"/>
  <c r="H35" i="8"/>
  <c r="H37" i="8"/>
  <c r="H38" i="8"/>
  <c r="H40" i="8"/>
  <c r="X21" i="8"/>
  <c r="G26" i="8"/>
  <c r="I28" i="8"/>
  <c r="E26" i="8"/>
  <c r="D26" i="8"/>
  <c r="H28" i="8"/>
  <c r="C26" i="8"/>
  <c r="G28" i="8"/>
  <c r="W21" i="8"/>
  <c r="F28" i="8"/>
  <c r="B26" i="8"/>
  <c r="O9" i="8"/>
  <c r="O13" i="8"/>
  <c r="N9" i="8"/>
  <c r="N13" i="8" s="1"/>
  <c r="L10" i="7"/>
  <c r="K10" i="7"/>
  <c r="M9" i="8"/>
  <c r="M13" i="8"/>
  <c r="I17" i="8"/>
  <c r="J10" i="7"/>
  <c r="H17" i="8"/>
  <c r="L9" i="8"/>
  <c r="K13" i="8"/>
  <c r="I10" i="7"/>
  <c r="J13" i="8"/>
  <c r="H10" i="7"/>
  <c r="X9" i="8"/>
  <c r="I13" i="8"/>
  <c r="G10" i="7"/>
  <c r="H13" i="8"/>
  <c r="F10" i="7"/>
  <c r="E10" i="7"/>
  <c r="G13" i="8"/>
  <c r="F13" i="8"/>
  <c r="W9" i="8"/>
  <c r="D10" i="7"/>
  <c r="K44" i="8"/>
  <c r="K112" i="8"/>
  <c r="L12" i="7"/>
  <c r="K10" i="8"/>
  <c r="L20" i="7"/>
  <c r="K46" i="8"/>
  <c r="J44" i="8"/>
  <c r="J112" i="8" s="1"/>
  <c r="J10" i="8"/>
  <c r="K20" i="7"/>
  <c r="K12" i="7"/>
  <c r="I112" i="8"/>
  <c r="I16" i="8"/>
  <c r="J20" i="7"/>
  <c r="H16" i="8"/>
  <c r="H112" i="8"/>
  <c r="I20" i="7"/>
  <c r="K12" i="8"/>
  <c r="H20" i="7"/>
  <c r="X8" i="8"/>
  <c r="J12" i="8"/>
  <c r="I12" i="8"/>
  <c r="H12" i="8"/>
  <c r="G12" i="8"/>
  <c r="F12" i="8"/>
  <c r="W8" i="8"/>
  <c r="J34" i="10"/>
  <c r="H34" i="10"/>
  <c r="G34" i="10"/>
  <c r="F34" i="10"/>
  <c r="D34" i="10"/>
  <c r="C34" i="10"/>
  <c r="B34" i="10"/>
  <c r="N17" i="5"/>
  <c r="W17" i="5" s="1"/>
  <c r="N16" i="5"/>
  <c r="W16" i="5" s="1"/>
  <c r="N15" i="5"/>
  <c r="N10" i="5"/>
  <c r="W10" i="5" s="1"/>
  <c r="N9" i="5"/>
  <c r="W9" i="5" s="1"/>
  <c r="N8" i="5"/>
  <c r="W8" i="5" s="1"/>
  <c r="N7" i="5"/>
  <c r="W7" i="5" s="1"/>
  <c r="N6" i="5"/>
  <c r="N5" i="5"/>
  <c r="H260" i="1" l="1"/>
  <c r="H261" i="1"/>
  <c r="G31" i="13"/>
  <c r="F33" i="13"/>
  <c r="B30" i="11"/>
  <c r="B8" i="12"/>
  <c r="C27" i="11"/>
  <c r="C243" i="1"/>
  <c r="C244" i="1"/>
  <c r="B243" i="1"/>
  <c r="B244" i="1"/>
  <c r="B248" i="1" s="1"/>
  <c r="R32" i="10"/>
  <c r="S32" i="10" s="1"/>
  <c r="T32" i="10" s="1"/>
  <c r="U32" i="10" s="1"/>
  <c r="AA32" i="10" s="1"/>
  <c r="Z32" i="10"/>
  <c r="M30" i="10"/>
  <c r="K34" i="10"/>
  <c r="K35" i="10" s="1"/>
  <c r="K18" i="12"/>
  <c r="R27" i="10"/>
  <c r="S27" i="10" s="1"/>
  <c r="T27" i="10" s="1"/>
  <c r="U27" i="10" s="1"/>
  <c r="AA27" i="10" s="1"/>
  <c r="Z27" i="10"/>
  <c r="R26" i="10"/>
  <c r="S26" i="10" s="1"/>
  <c r="T26" i="10" s="1"/>
  <c r="U26" i="10" s="1"/>
  <c r="AA26" i="10" s="1"/>
  <c r="Z26" i="10"/>
  <c r="N25" i="10"/>
  <c r="Y25" i="10"/>
  <c r="N17" i="9"/>
  <c r="R17" i="10"/>
  <c r="S17" i="10" s="1"/>
  <c r="T17" i="10" s="1"/>
  <c r="U17" i="10" s="1"/>
  <c r="AA17" i="10" s="1"/>
  <c r="Z17" i="10"/>
  <c r="R15" i="10"/>
  <c r="S15" i="10" s="1"/>
  <c r="T15" i="10" s="1"/>
  <c r="U15" i="10" s="1"/>
  <c r="AA15" i="10" s="1"/>
  <c r="Z15" i="10"/>
  <c r="R14" i="10"/>
  <c r="S14" i="10" s="1"/>
  <c r="T14" i="10" s="1"/>
  <c r="U14" i="10" s="1"/>
  <c r="AA14" i="10" s="1"/>
  <c r="Z14" i="10"/>
  <c r="R8" i="10"/>
  <c r="S8" i="10" s="1"/>
  <c r="T8" i="10" s="1"/>
  <c r="U8" i="10" s="1"/>
  <c r="AA8" i="10" s="1"/>
  <c r="Z8" i="10"/>
  <c r="K7" i="12"/>
  <c r="N37" i="7"/>
  <c r="O37" i="7" s="1"/>
  <c r="P37" i="7" s="1"/>
  <c r="Q37" i="7" s="1"/>
  <c r="R37" i="7" s="1"/>
  <c r="S37" i="7" s="1"/>
  <c r="T37" i="7" s="1"/>
  <c r="U37" i="7" s="1"/>
  <c r="V37" i="7" s="1"/>
  <c r="L16" i="9"/>
  <c r="J19" i="10"/>
  <c r="J38" i="10"/>
  <c r="I19" i="10"/>
  <c r="I38" i="10"/>
  <c r="X12" i="10"/>
  <c r="H19" i="10"/>
  <c r="H38" i="10"/>
  <c r="G19" i="10"/>
  <c r="G38" i="10"/>
  <c r="F19" i="10"/>
  <c r="F38" i="10"/>
  <c r="W12" i="10"/>
  <c r="Y37" i="7"/>
  <c r="E19" i="10"/>
  <c r="E38" i="10"/>
  <c r="D19" i="10"/>
  <c r="D38" i="10"/>
  <c r="C19" i="10"/>
  <c r="C38" i="10"/>
  <c r="B19" i="10"/>
  <c r="B38" i="10"/>
  <c r="X40" i="10"/>
  <c r="X41" i="10"/>
  <c r="Y46" i="7"/>
  <c r="Y47" i="7"/>
  <c r="W40" i="10"/>
  <c r="W41" i="10"/>
  <c r="X46" i="7"/>
  <c r="X47" i="7"/>
  <c r="K13" i="9"/>
  <c r="K45" i="9"/>
  <c r="E25" i="3"/>
  <c r="E26" i="3" s="1"/>
  <c r="J13" i="9"/>
  <c r="J45" i="9"/>
  <c r="D25" i="3"/>
  <c r="D26" i="3" s="1"/>
  <c r="I13" i="9"/>
  <c r="I45" i="9"/>
  <c r="I67" i="9"/>
  <c r="C25" i="3"/>
  <c r="C26" i="3" s="1"/>
  <c r="H13" i="9"/>
  <c r="H67" i="9"/>
  <c r="B25" i="3"/>
  <c r="B26" i="3" s="1"/>
  <c r="C18" i="14"/>
  <c r="B39" i="14"/>
  <c r="D39" i="14" s="1"/>
  <c r="G13" i="9"/>
  <c r="G45" i="9"/>
  <c r="G67" i="9"/>
  <c r="F13" i="9"/>
  <c r="F45" i="9"/>
  <c r="F67" i="9"/>
  <c r="X9" i="9"/>
  <c r="C288" i="1" s="1"/>
  <c r="X24" i="9"/>
  <c r="Z5" i="5" s="1"/>
  <c r="X34" i="9"/>
  <c r="X72" i="9"/>
  <c r="X35" i="9"/>
  <c r="X73" i="9"/>
  <c r="X39" i="10"/>
  <c r="C287" i="1"/>
  <c r="E89" i="6"/>
  <c r="E90" i="6" s="1"/>
  <c r="Y34" i="7"/>
  <c r="Y45" i="7"/>
  <c r="Y48" i="7"/>
  <c r="Y49" i="7"/>
  <c r="Y52" i="7"/>
  <c r="E13" i="9"/>
  <c r="E67" i="9"/>
  <c r="D13" i="9"/>
  <c r="D67" i="9"/>
  <c r="W9" i="9"/>
  <c r="B288" i="1" s="1"/>
  <c r="W24" i="9"/>
  <c r="W35" i="9"/>
  <c r="W72" i="9"/>
  <c r="W34" i="9"/>
  <c r="W73" i="9"/>
  <c r="W39" i="10"/>
  <c r="B287" i="1"/>
  <c r="X34" i="7"/>
  <c r="X45" i="7"/>
  <c r="X48" i="7"/>
  <c r="X49" i="7"/>
  <c r="X52" i="7"/>
  <c r="Z39" i="11"/>
  <c r="O18" i="11"/>
  <c r="Z38" i="11"/>
  <c r="N18" i="11"/>
  <c r="Z18" i="11" s="1"/>
  <c r="L18" i="10"/>
  <c r="M18" i="10" s="1"/>
  <c r="Y38" i="11"/>
  <c r="B65" i="13"/>
  <c r="L18" i="11"/>
  <c r="Y18" i="11" s="1"/>
  <c r="H41" i="6"/>
  <c r="H42" i="6"/>
  <c r="G41" i="6"/>
  <c r="G42" i="6"/>
  <c r="F41" i="6"/>
  <c r="F42" i="6"/>
  <c r="C41" i="6"/>
  <c r="C44" i="6" s="1"/>
  <c r="C42" i="6"/>
  <c r="B41" i="6"/>
  <c r="B44" i="6" s="1"/>
  <c r="B42" i="6"/>
  <c r="H25" i="6"/>
  <c r="H26" i="6"/>
  <c r="G25" i="6"/>
  <c r="G26" i="6"/>
  <c r="F25" i="6"/>
  <c r="F26" i="6"/>
  <c r="C25" i="6"/>
  <c r="C26" i="6"/>
  <c r="B25" i="6"/>
  <c r="B26" i="6"/>
  <c r="AO18" i="5"/>
  <c r="AO19" i="5"/>
  <c r="AV18" i="5"/>
  <c r="AV19" i="5"/>
  <c r="Y18" i="5"/>
  <c r="Y19" i="5"/>
  <c r="T18" i="5"/>
  <c r="T19" i="5"/>
  <c r="C76" i="14"/>
  <c r="AE18" i="5"/>
  <c r="AE19" i="5"/>
  <c r="S18" i="5"/>
  <c r="S19" i="5"/>
  <c r="AV11" i="5"/>
  <c r="AV12" i="5"/>
  <c r="AV20" i="5"/>
  <c r="AV21" i="5"/>
  <c r="AO11" i="5"/>
  <c r="AO12" i="5"/>
  <c r="AO20" i="5"/>
  <c r="AO21" i="5"/>
  <c r="T11" i="5"/>
  <c r="T12" i="5"/>
  <c r="B13" i="14" s="1"/>
  <c r="C13" i="14" s="1"/>
  <c r="T20" i="5"/>
  <c r="T21" i="5"/>
  <c r="B15" i="14" s="1"/>
  <c r="C15" i="14" s="1"/>
  <c r="B76" i="14"/>
  <c r="Y11" i="5"/>
  <c r="Y12" i="5"/>
  <c r="Y20" i="5"/>
  <c r="Y21" i="5"/>
  <c r="S11" i="5"/>
  <c r="S12" i="5"/>
  <c r="B12" i="14" s="1"/>
  <c r="S20" i="5"/>
  <c r="S21" i="5"/>
  <c r="B14" i="14" s="1"/>
  <c r="C14" i="14" s="1"/>
  <c r="B23" i="12"/>
  <c r="AE11" i="5"/>
  <c r="AE12" i="5"/>
  <c r="AE20" i="5"/>
  <c r="AE21" i="5"/>
  <c r="C17" i="14"/>
  <c r="C29" i="14"/>
  <c r="I262" i="1" s="1"/>
  <c r="B40" i="14"/>
  <c r="D40" i="14" s="1"/>
  <c r="B29" i="14"/>
  <c r="D58" i="4"/>
  <c r="C58" i="4"/>
  <c r="B58" i="4"/>
  <c r="B57" i="4"/>
  <c r="D57" i="4"/>
  <c r="C57" i="4"/>
  <c r="D69" i="4"/>
  <c r="B69" i="4"/>
  <c r="D55" i="4"/>
  <c r="C55" i="4"/>
  <c r="B55" i="4"/>
  <c r="B56" i="4"/>
  <c r="K13" i="12"/>
  <c r="K14" i="9"/>
  <c r="K15" i="9" s="1"/>
  <c r="J13" i="12"/>
  <c r="J14" i="9"/>
  <c r="J15" i="9" s="1"/>
  <c r="I13" i="12"/>
  <c r="I14" i="9"/>
  <c r="I15" i="9" s="1"/>
  <c r="H13" i="12"/>
  <c r="H14" i="9"/>
  <c r="H15" i="9" s="1"/>
  <c r="G13" i="12"/>
  <c r="G14" i="9"/>
  <c r="G15" i="9" s="1"/>
  <c r="F13" i="12"/>
  <c r="F14" i="9"/>
  <c r="F15" i="9" s="1"/>
  <c r="X76" i="8"/>
  <c r="X88" i="8"/>
  <c r="X89" i="8"/>
  <c r="E13" i="12"/>
  <c r="E14" i="9"/>
  <c r="E15" i="9" s="1"/>
  <c r="D14" i="9"/>
  <c r="D15" i="9" s="1"/>
  <c r="D13" i="12"/>
  <c r="C13" i="12"/>
  <c r="C14" i="9"/>
  <c r="C15" i="9" s="1"/>
  <c r="W76" i="8"/>
  <c r="X85" i="8"/>
  <c r="W88" i="8"/>
  <c r="W89" i="8"/>
  <c r="B13" i="12"/>
  <c r="B14" i="9"/>
  <c r="B15" i="9" s="1"/>
  <c r="S56" i="8"/>
  <c r="S64" i="8"/>
  <c r="O74" i="8"/>
  <c r="O79" i="8"/>
  <c r="I21" i="3"/>
  <c r="R56" i="8"/>
  <c r="R64" i="8"/>
  <c r="N74" i="8"/>
  <c r="N79" i="8"/>
  <c r="Q56" i="8"/>
  <c r="Q64" i="8"/>
  <c r="M74" i="8"/>
  <c r="M79" i="8"/>
  <c r="G21" i="3"/>
  <c r="P56" i="8"/>
  <c r="Z56" i="8" s="1"/>
  <c r="P64" i="8"/>
  <c r="L74" i="8"/>
  <c r="L79" i="8"/>
  <c r="L83" i="8" s="1"/>
  <c r="F21" i="3"/>
  <c r="Y64" i="8"/>
  <c r="X79" i="8"/>
  <c r="Z24" i="7"/>
  <c r="Z22" i="7" s="1"/>
  <c r="Y29" i="7"/>
  <c r="X64" i="8"/>
  <c r="W79" i="8"/>
  <c r="Y24" i="7"/>
  <c r="Y22" i="7" s="1"/>
  <c r="X29" i="7"/>
  <c r="K68" i="8"/>
  <c r="K69" i="8"/>
  <c r="K70" i="8"/>
  <c r="K80" i="8"/>
  <c r="J68" i="8"/>
  <c r="J69" i="8"/>
  <c r="J70" i="8"/>
  <c r="J80" i="8"/>
  <c r="I67" i="8"/>
  <c r="I68" i="8"/>
  <c r="I69" i="8"/>
  <c r="I70" i="8"/>
  <c r="I80" i="8"/>
  <c r="H67" i="8"/>
  <c r="H68" i="8"/>
  <c r="H69" i="8"/>
  <c r="H70" i="8"/>
  <c r="H80" i="8"/>
  <c r="K65" i="8"/>
  <c r="F23" i="3" s="1"/>
  <c r="G69" i="8"/>
  <c r="G70" i="8"/>
  <c r="G80" i="8"/>
  <c r="X58" i="8"/>
  <c r="X78" i="8"/>
  <c r="Y28" i="7"/>
  <c r="J65" i="8"/>
  <c r="E23" i="3" s="1"/>
  <c r="F69" i="8"/>
  <c r="F70" i="8"/>
  <c r="F80" i="8"/>
  <c r="I65" i="8"/>
  <c r="D23" i="3" s="1"/>
  <c r="E69" i="8"/>
  <c r="E70" i="8"/>
  <c r="E80" i="8"/>
  <c r="H65" i="8"/>
  <c r="C23" i="3" s="1"/>
  <c r="D69" i="8"/>
  <c r="D70" i="8"/>
  <c r="D80" i="8"/>
  <c r="G65" i="8"/>
  <c r="C69" i="8"/>
  <c r="C70" i="8"/>
  <c r="C80" i="8"/>
  <c r="F65" i="8"/>
  <c r="B69" i="8"/>
  <c r="B70" i="8"/>
  <c r="B80" i="8"/>
  <c r="W58" i="8"/>
  <c r="W78" i="8"/>
  <c r="X28" i="7"/>
  <c r="X63" i="8"/>
  <c r="M45" i="8"/>
  <c r="M8" i="8" s="1"/>
  <c r="M46" i="8"/>
  <c r="M52" i="8"/>
  <c r="M61" i="8" s="1"/>
  <c r="I54" i="8"/>
  <c r="I47" i="8"/>
  <c r="I48" i="8"/>
  <c r="I49" i="8" s="1"/>
  <c r="J21" i="7" s="1"/>
  <c r="H47" i="8"/>
  <c r="H48" i="8"/>
  <c r="H49" i="8" s="1"/>
  <c r="I21" i="7" s="1"/>
  <c r="L45" i="8"/>
  <c r="L46" i="8"/>
  <c r="L52" i="8"/>
  <c r="N8" i="7"/>
  <c r="C8" i="3" s="1"/>
  <c r="L8" i="8"/>
  <c r="H54" i="8"/>
  <c r="L61" i="8"/>
  <c r="X26" i="8"/>
  <c r="F39" i="8"/>
  <c r="F10" i="8"/>
  <c r="F35" i="8"/>
  <c r="F36" i="8"/>
  <c r="F37" i="8"/>
  <c r="F38" i="8"/>
  <c r="F40" i="8"/>
  <c r="I18" i="8"/>
  <c r="I11" i="12"/>
  <c r="I12" i="12"/>
  <c r="I59" i="8"/>
  <c r="H11" i="12"/>
  <c r="H12" i="12"/>
  <c r="H18" i="8"/>
  <c r="H59" i="8"/>
  <c r="G35" i="8"/>
  <c r="G36" i="8"/>
  <c r="G37" i="8"/>
  <c r="G38" i="8"/>
  <c r="G40" i="8"/>
  <c r="G10" i="8"/>
  <c r="G39" i="8"/>
  <c r="E35" i="8"/>
  <c r="E36" i="8"/>
  <c r="E38" i="8"/>
  <c r="E39" i="8"/>
  <c r="E40" i="8"/>
  <c r="I33" i="8"/>
  <c r="E37" i="8"/>
  <c r="E10" i="8"/>
  <c r="H33" i="8"/>
  <c r="D35" i="8"/>
  <c r="D36" i="8"/>
  <c r="D38" i="8"/>
  <c r="D40" i="8"/>
  <c r="D37" i="8"/>
  <c r="D39" i="8"/>
  <c r="D10" i="8"/>
  <c r="C37" i="8"/>
  <c r="G33" i="8"/>
  <c r="C35" i="8"/>
  <c r="C36" i="8"/>
  <c r="C38" i="8"/>
  <c r="C39" i="8"/>
  <c r="C40" i="8"/>
  <c r="C10" i="8"/>
  <c r="W26" i="8"/>
  <c r="F33" i="8"/>
  <c r="B38" i="8"/>
  <c r="B39" i="8"/>
  <c r="B10" i="8"/>
  <c r="B35" i="8"/>
  <c r="B36" i="8"/>
  <c r="B37" i="8"/>
  <c r="B40" i="8"/>
  <c r="S9" i="8"/>
  <c r="S13" i="8" s="1"/>
  <c r="R9" i="8"/>
  <c r="R13" i="8"/>
  <c r="P10" i="7"/>
  <c r="E10" i="3" s="1"/>
  <c r="C35" i="6"/>
  <c r="O10" i="7"/>
  <c r="D10" i="3" s="1"/>
  <c r="Q9" i="8"/>
  <c r="Q13" i="8" s="1"/>
  <c r="B35" i="6"/>
  <c r="N10" i="7"/>
  <c r="C10" i="3" s="1"/>
  <c r="P9" i="8"/>
  <c r="Y13" i="8"/>
  <c r="C222" i="1"/>
  <c r="D272" i="1"/>
  <c r="E35" i="6"/>
  <c r="E36" i="6" s="1"/>
  <c r="B222" i="1"/>
  <c r="Y10" i="7"/>
  <c r="Y25" i="7"/>
  <c r="X13" i="8"/>
  <c r="K52" i="8"/>
  <c r="K67" i="8" s="1"/>
  <c r="M8" i="7"/>
  <c r="B8" i="3" s="1"/>
  <c r="L18" i="7"/>
  <c r="K11" i="12"/>
  <c r="K12" i="12"/>
  <c r="K18" i="8"/>
  <c r="K59" i="8"/>
  <c r="K47" i="8"/>
  <c r="K48" i="8"/>
  <c r="K49" i="8" s="1"/>
  <c r="L21" i="7" s="1"/>
  <c r="M21" i="7" s="1"/>
  <c r="Y44" i="8"/>
  <c r="J46" i="8"/>
  <c r="J52" i="8"/>
  <c r="J67" i="8" s="1"/>
  <c r="K8" i="7"/>
  <c r="L8" i="7"/>
  <c r="K18" i="7"/>
  <c r="J18" i="8"/>
  <c r="J59" i="8"/>
  <c r="J11" i="12"/>
  <c r="J12" i="12"/>
  <c r="X10" i="8"/>
  <c r="X17" i="8" s="1"/>
  <c r="X16" i="8"/>
  <c r="C221" i="1"/>
  <c r="E17" i="6"/>
  <c r="E18" i="6" s="1"/>
  <c r="Y20" i="7"/>
  <c r="W10" i="8"/>
  <c r="W17" i="8" s="1"/>
  <c r="X12" i="8"/>
  <c r="W16" i="8"/>
  <c r="B221" i="1"/>
  <c r="N19" i="5"/>
  <c r="N18" i="5"/>
  <c r="W15" i="5"/>
  <c r="N21" i="5"/>
  <c r="N20" i="5"/>
  <c r="N12" i="5"/>
  <c r="N11" i="5"/>
  <c r="W6" i="5"/>
  <c r="H262" i="1"/>
  <c r="C35" i="13"/>
  <c r="B134" i="13" s="1"/>
  <c r="H101" i="6"/>
  <c r="G101" i="6"/>
  <c r="K83" i="8"/>
  <c r="J83" i="8"/>
  <c r="I83" i="8"/>
  <c r="H83" i="8"/>
  <c r="G83" i="8"/>
  <c r="F83" i="8"/>
  <c r="E83" i="8"/>
  <c r="D83" i="8"/>
  <c r="C83" i="8"/>
  <c r="K82" i="8"/>
  <c r="J82" i="8"/>
  <c r="I82" i="8"/>
  <c r="H82" i="8"/>
  <c r="G82" i="8"/>
  <c r="F82" i="8"/>
  <c r="E82" i="8"/>
  <c r="D82" i="8"/>
  <c r="C82" i="8"/>
  <c r="C228" i="1"/>
  <c r="C227" i="1"/>
  <c r="Y36" i="11"/>
  <c r="M16" i="10"/>
  <c r="K34" i="7"/>
  <c r="J24" i="9"/>
  <c r="F24" i="9"/>
  <c r="G34" i="7"/>
  <c r="C13" i="9"/>
  <c r="D34" i="7"/>
  <c r="B13" i="9"/>
  <c r="C34" i="7"/>
  <c r="B24" i="9"/>
  <c r="B22" i="12"/>
  <c r="Y5" i="5"/>
  <c r="M10" i="7"/>
  <c r="B10" i="3" s="1"/>
  <c r="Y9" i="8"/>
  <c r="L13" i="8"/>
  <c r="K17" i="8"/>
  <c r="K16" i="8"/>
  <c r="J17" i="8"/>
  <c r="J16" i="8"/>
  <c r="B9" i="12"/>
  <c r="H31" i="13" l="1"/>
  <c r="G33" i="13"/>
  <c r="C25" i="11"/>
  <c r="N30" i="10"/>
  <c r="Y30" i="10"/>
  <c r="O25" i="10"/>
  <c r="O17" i="9"/>
  <c r="L19" i="9"/>
  <c r="J35" i="10"/>
  <c r="J7" i="12"/>
  <c r="I35" i="10"/>
  <c r="I7" i="12"/>
  <c r="X19" i="10"/>
  <c r="X38" i="10"/>
  <c r="H35" i="10"/>
  <c r="H7" i="12"/>
  <c r="G35" i="10"/>
  <c r="G7" i="12"/>
  <c r="F35" i="10"/>
  <c r="F7" i="12"/>
  <c r="W19" i="10"/>
  <c r="W38" i="10"/>
  <c r="E35" i="10"/>
  <c r="E7" i="12"/>
  <c r="D35" i="10"/>
  <c r="D7" i="12"/>
  <c r="C35" i="10"/>
  <c r="C7" i="12"/>
  <c r="B35" i="10"/>
  <c r="B7" i="12"/>
  <c r="K25" i="9"/>
  <c r="K20" i="9"/>
  <c r="E28" i="3"/>
  <c r="K50" i="9"/>
  <c r="K47" i="9"/>
  <c r="K27" i="12"/>
  <c r="J25" i="9"/>
  <c r="J20" i="9"/>
  <c r="D28" i="3"/>
  <c r="J50" i="9"/>
  <c r="J27" i="12"/>
  <c r="J47" i="9"/>
  <c r="I25" i="9"/>
  <c r="I20" i="9"/>
  <c r="C28" i="3"/>
  <c r="I50" i="9"/>
  <c r="I47" i="9"/>
  <c r="I72" i="9"/>
  <c r="I69" i="9"/>
  <c r="I27" i="12"/>
  <c r="W5" i="5"/>
  <c r="H25" i="9"/>
  <c r="H20" i="9"/>
  <c r="B28" i="3"/>
  <c r="H72" i="9"/>
  <c r="H69" i="9"/>
  <c r="H27" i="12"/>
  <c r="G25" i="9"/>
  <c r="G20" i="9"/>
  <c r="G50" i="9"/>
  <c r="G47" i="9"/>
  <c r="G72" i="9"/>
  <c r="G27" i="12"/>
  <c r="G69" i="9"/>
  <c r="F25" i="9"/>
  <c r="X13" i="9"/>
  <c r="F20" i="9"/>
  <c r="F50" i="9"/>
  <c r="F47" i="9"/>
  <c r="F72" i="9"/>
  <c r="F27" i="12"/>
  <c r="F69" i="9"/>
  <c r="E62" i="6"/>
  <c r="E72" i="6"/>
  <c r="E25" i="9"/>
  <c r="E20" i="9"/>
  <c r="E72" i="9"/>
  <c r="E69" i="9"/>
  <c r="E27" i="12"/>
  <c r="D25" i="9"/>
  <c r="D20" i="9"/>
  <c r="D72" i="9"/>
  <c r="D27" i="12"/>
  <c r="D69" i="9"/>
  <c r="Y18" i="10"/>
  <c r="N18" i="10"/>
  <c r="O18" i="10" s="1"/>
  <c r="P18" i="10" s="1"/>
  <c r="Q18" i="10" s="1"/>
  <c r="C12" i="14"/>
  <c r="B28" i="14"/>
  <c r="C28" i="14"/>
  <c r="B38" i="14"/>
  <c r="D38" i="14" s="1"/>
  <c r="I260" i="1"/>
  <c r="I261" i="1"/>
  <c r="X13" i="12"/>
  <c r="X14" i="9"/>
  <c r="X15" i="9" s="1"/>
  <c r="W13" i="12"/>
  <c r="W14" i="9"/>
  <c r="W15" i="9" s="1"/>
  <c r="S74" i="8"/>
  <c r="S79" i="8"/>
  <c r="O86" i="8"/>
  <c r="S86" i="8"/>
  <c r="R74" i="8"/>
  <c r="R79" i="8"/>
  <c r="J21" i="3"/>
  <c r="N86" i="8"/>
  <c r="R86" i="8"/>
  <c r="U56" i="8"/>
  <c r="U64" i="8"/>
  <c r="Q74" i="8"/>
  <c r="Q79" i="8"/>
  <c r="M86" i="8"/>
  <c r="Q86" i="8"/>
  <c r="T56" i="8"/>
  <c r="P74" i="8"/>
  <c r="Z74" i="8" s="1"/>
  <c r="P79" i="8"/>
  <c r="P83" i="8" s="1"/>
  <c r="Y74" i="8"/>
  <c r="L86" i="8"/>
  <c r="P86" i="8"/>
  <c r="X69" i="8"/>
  <c r="X70" i="8"/>
  <c r="X80" i="8"/>
  <c r="X65" i="8"/>
  <c r="W69" i="8"/>
  <c r="W70" i="8"/>
  <c r="W80" i="8"/>
  <c r="N19" i="7"/>
  <c r="M53" i="8"/>
  <c r="M47" i="8"/>
  <c r="M12" i="8"/>
  <c r="M10" i="8"/>
  <c r="M101" i="8"/>
  <c r="M102" i="8"/>
  <c r="M112" i="8"/>
  <c r="C17" i="6"/>
  <c r="N20" i="7"/>
  <c r="M16" i="8"/>
  <c r="M19" i="7"/>
  <c r="Y45" i="8"/>
  <c r="L53" i="8"/>
  <c r="M9" i="7"/>
  <c r="B9" i="3" s="1"/>
  <c r="N9" i="7"/>
  <c r="C9" i="3" s="1"/>
  <c r="L47" i="8"/>
  <c r="L12" i="8"/>
  <c r="Y8" i="8"/>
  <c r="L10" i="8"/>
  <c r="L16" i="8"/>
  <c r="L101" i="8"/>
  <c r="L102" i="8"/>
  <c r="L112" i="8"/>
  <c r="B17" i="6"/>
  <c r="M20" i="7"/>
  <c r="F16" i="8"/>
  <c r="F17" i="8"/>
  <c r="J14" i="8"/>
  <c r="F18" i="8"/>
  <c r="F11" i="12"/>
  <c r="F12" i="12"/>
  <c r="F59" i="8"/>
  <c r="G16" i="8"/>
  <c r="G17" i="8"/>
  <c r="G59" i="8"/>
  <c r="K14" i="8"/>
  <c r="G18" i="8"/>
  <c r="G11" i="12"/>
  <c r="G12" i="12"/>
  <c r="E16" i="8"/>
  <c r="E17" i="8"/>
  <c r="E18" i="8"/>
  <c r="E11" i="12"/>
  <c r="E12" i="12"/>
  <c r="I14" i="8"/>
  <c r="E59" i="8"/>
  <c r="D16" i="8"/>
  <c r="D17" i="8"/>
  <c r="D18" i="8"/>
  <c r="D11" i="12"/>
  <c r="D12" i="12"/>
  <c r="H14" i="8"/>
  <c r="D59" i="8"/>
  <c r="C16" i="8"/>
  <c r="C17" i="8"/>
  <c r="G14" i="8"/>
  <c r="C59" i="8"/>
  <c r="C18" i="8"/>
  <c r="C11" i="12"/>
  <c r="C12" i="12"/>
  <c r="B16" i="8"/>
  <c r="B17" i="8"/>
  <c r="F14" i="8"/>
  <c r="B18" i="8"/>
  <c r="B59" i="8"/>
  <c r="B11" i="12"/>
  <c r="B12" i="12"/>
  <c r="T10" i="7"/>
  <c r="I10" i="3" s="1"/>
  <c r="C36" i="6"/>
  <c r="C43" i="6"/>
  <c r="U9" i="8"/>
  <c r="U13" i="8"/>
  <c r="S10" i="7"/>
  <c r="H10" i="3" s="1"/>
  <c r="B36" i="6"/>
  <c r="B43" i="6"/>
  <c r="T9" i="8"/>
  <c r="T13" i="8"/>
  <c r="R10" i="7"/>
  <c r="G10" i="3" s="1"/>
  <c r="K54" i="8"/>
  <c r="N21" i="7"/>
  <c r="L49" i="8"/>
  <c r="L48" i="8" s="1"/>
  <c r="L54" i="8" s="1"/>
  <c r="L55" i="8" s="1"/>
  <c r="Z17" i="7"/>
  <c r="Z15" i="7" s="1"/>
  <c r="Y46" i="8"/>
  <c r="Y52" i="8"/>
  <c r="D225" i="1"/>
  <c r="D227" i="1" s="1"/>
  <c r="Z18" i="7"/>
  <c r="N44" i="8"/>
  <c r="O44" i="8"/>
  <c r="P44" i="8"/>
  <c r="Q44" i="8"/>
  <c r="R44" i="8"/>
  <c r="S44" i="8"/>
  <c r="T44" i="8"/>
  <c r="U44" i="8"/>
  <c r="J47" i="8"/>
  <c r="J48" i="8"/>
  <c r="J49" i="8" s="1"/>
  <c r="K21" i="7" s="1"/>
  <c r="J54" i="8"/>
  <c r="X18" i="8"/>
  <c r="C223" i="1"/>
  <c r="X11" i="12"/>
  <c r="X12" i="12"/>
  <c r="X59" i="8"/>
  <c r="X14" i="8"/>
  <c r="W59" i="8"/>
  <c r="W18" i="8"/>
  <c r="B223" i="1"/>
  <c r="W11" i="12"/>
  <c r="W12" i="12"/>
  <c r="W18" i="5"/>
  <c r="W19" i="5"/>
  <c r="W11" i="5"/>
  <c r="W12" i="5"/>
  <c r="W20" i="5"/>
  <c r="W21" i="5"/>
  <c r="M16" i="12"/>
  <c r="N36" i="11"/>
  <c r="Y16" i="10"/>
  <c r="Y16" i="12" s="1"/>
  <c r="N16" i="10"/>
  <c r="C25" i="9"/>
  <c r="C20" i="9"/>
  <c r="B20" i="9"/>
  <c r="W13" i="9"/>
  <c r="B25" i="9"/>
  <c r="F35" i="6"/>
  <c r="D222" i="1"/>
  <c r="O83" i="8"/>
  <c r="N83" i="8"/>
  <c r="M83" i="8"/>
  <c r="X83" i="8"/>
  <c r="X82" i="8"/>
  <c r="B24" i="12"/>
  <c r="AA24" i="7"/>
  <c r="AA22" i="7" s="1"/>
  <c r="Z64" i="8"/>
  <c r="P13" i="8"/>
  <c r="Q10" i="7"/>
  <c r="F10" i="3" s="1"/>
  <c r="Z9" i="8"/>
  <c r="Z10" i="7"/>
  <c r="Z25" i="7"/>
  <c r="I31" i="13" l="1"/>
  <c r="H33" i="13"/>
  <c r="C26" i="11"/>
  <c r="C28" i="11" s="1"/>
  <c r="O30" i="10"/>
  <c r="P25" i="10"/>
  <c r="P17" i="9"/>
  <c r="X35" i="10"/>
  <c r="X7" i="12"/>
  <c r="W35" i="10"/>
  <c r="W7" i="12"/>
  <c r="K22" i="9"/>
  <c r="K27" i="9"/>
  <c r="L40" i="7"/>
  <c r="K51" i="9"/>
  <c r="K28" i="12"/>
  <c r="E34" i="3"/>
  <c r="K53" i="9"/>
  <c r="J22" i="9"/>
  <c r="J27" i="9"/>
  <c r="K40" i="7"/>
  <c r="J51" i="9"/>
  <c r="J53" i="9"/>
  <c r="J28" i="12"/>
  <c r="D34" i="3"/>
  <c r="I22" i="9"/>
  <c r="I27" i="9"/>
  <c r="J40" i="7"/>
  <c r="I51" i="9"/>
  <c r="C34" i="3"/>
  <c r="I53" i="9"/>
  <c r="I73" i="9"/>
  <c r="I74" i="9"/>
  <c r="I28" i="12"/>
  <c r="H22" i="9"/>
  <c r="H27" i="9"/>
  <c r="I40" i="7"/>
  <c r="H73" i="9"/>
  <c r="H74" i="9"/>
  <c r="H28" i="12"/>
  <c r="G22" i="9"/>
  <c r="G27" i="9"/>
  <c r="H40" i="7"/>
  <c r="G51" i="9"/>
  <c r="G53" i="9"/>
  <c r="G73" i="9"/>
  <c r="G74" i="9"/>
  <c r="G28" i="12"/>
  <c r="X25" i="9"/>
  <c r="X20" i="9"/>
  <c r="O171" i="15"/>
  <c r="AN5" i="5" s="1"/>
  <c r="C289" i="1"/>
  <c r="F22" i="9"/>
  <c r="F27" i="9"/>
  <c r="G40" i="7"/>
  <c r="F51" i="9"/>
  <c r="F53" i="9"/>
  <c r="F73" i="9"/>
  <c r="F74" i="9"/>
  <c r="F28" i="12"/>
  <c r="E73" i="6"/>
  <c r="E63" i="6"/>
  <c r="E22" i="9"/>
  <c r="E27" i="9"/>
  <c r="F40" i="7"/>
  <c r="E73" i="9"/>
  <c r="E74" i="9"/>
  <c r="E28" i="12"/>
  <c r="D22" i="9"/>
  <c r="D27" i="9"/>
  <c r="E40" i="7"/>
  <c r="D73" i="9"/>
  <c r="D74" i="9"/>
  <c r="D28" i="12"/>
  <c r="R18" i="10"/>
  <c r="S18" i="10" s="1"/>
  <c r="T18" i="10" s="1"/>
  <c r="U18" i="10" s="1"/>
  <c r="AA18" i="10" s="1"/>
  <c r="Z18" i="10"/>
  <c r="J260" i="1"/>
  <c r="J261" i="1"/>
  <c r="B262" i="1"/>
  <c r="J262" i="1"/>
  <c r="U74" i="8"/>
  <c r="U86" i="8" s="1"/>
  <c r="U79" i="8"/>
  <c r="T74" i="8"/>
  <c r="T79" i="8"/>
  <c r="T83" i="8" s="1"/>
  <c r="Z29" i="7"/>
  <c r="Y79" i="8"/>
  <c r="Y83" i="8" s="1"/>
  <c r="Y86" i="8"/>
  <c r="Z86" i="8"/>
  <c r="M62" i="8"/>
  <c r="M17" i="8"/>
  <c r="M14" i="8"/>
  <c r="M18" i="8"/>
  <c r="M7" i="9"/>
  <c r="M11" i="12"/>
  <c r="M12" i="12"/>
  <c r="M103" i="8"/>
  <c r="M108" i="8"/>
  <c r="M109" i="8"/>
  <c r="C18" i="6"/>
  <c r="C27" i="6"/>
  <c r="C28" i="6" s="1"/>
  <c r="U45" i="8"/>
  <c r="T45" i="8"/>
  <c r="S45" i="8"/>
  <c r="R45" i="8"/>
  <c r="Q45" i="8"/>
  <c r="P45" i="8"/>
  <c r="O45" i="8"/>
  <c r="N45" i="8"/>
  <c r="N46" i="8" s="1"/>
  <c r="D226" i="1"/>
  <c r="D228" i="1" s="1"/>
  <c r="Y53" i="8"/>
  <c r="Z19" i="7"/>
  <c r="L62" i="8"/>
  <c r="L63" i="8"/>
  <c r="Y55" i="8"/>
  <c r="Y48" i="8" s="1"/>
  <c r="L58" i="8"/>
  <c r="L59" i="8" s="1"/>
  <c r="F20" i="3"/>
  <c r="Y12" i="8"/>
  <c r="Z20" i="7"/>
  <c r="F17" i="6"/>
  <c r="D221" i="1"/>
  <c r="Y112" i="8"/>
  <c r="Y10" i="8"/>
  <c r="Y16" i="8" s="1"/>
  <c r="L17" i="8"/>
  <c r="L14" i="8"/>
  <c r="L18" i="8"/>
  <c r="L57" i="8"/>
  <c r="L7" i="9"/>
  <c r="L11" i="12"/>
  <c r="L12" i="12"/>
  <c r="Y101" i="8"/>
  <c r="Z12" i="7" s="1"/>
  <c r="L103" i="8"/>
  <c r="L108" i="8"/>
  <c r="Y102" i="8"/>
  <c r="L109" i="8"/>
  <c r="B18" i="6"/>
  <c r="B27" i="6"/>
  <c r="B28" i="6" s="1"/>
  <c r="V10" i="7"/>
  <c r="K10" i="3" s="1"/>
  <c r="O21" i="7"/>
  <c r="M49" i="8"/>
  <c r="M48" i="8" s="1"/>
  <c r="M54" i="8" s="1"/>
  <c r="Y47" i="8"/>
  <c r="O17" i="7"/>
  <c r="O15" i="7" s="1"/>
  <c r="O8" i="7"/>
  <c r="D8" i="3" s="1"/>
  <c r="Z44" i="8"/>
  <c r="N52" i="8"/>
  <c r="P8" i="7"/>
  <c r="E8" i="3" s="1"/>
  <c r="S17" i="7"/>
  <c r="S15" i="7" s="1"/>
  <c r="O18" i="7"/>
  <c r="N8" i="8"/>
  <c r="P17" i="7"/>
  <c r="P15" i="7" s="1"/>
  <c r="O52" i="8"/>
  <c r="Q8" i="7"/>
  <c r="F8" i="3" s="1"/>
  <c r="T17" i="7"/>
  <c r="T15" i="7" s="1"/>
  <c r="Q17" i="7"/>
  <c r="Q15" i="7" s="1"/>
  <c r="P52" i="8"/>
  <c r="R8" i="7"/>
  <c r="G8" i="3" s="1"/>
  <c r="U17" i="7"/>
  <c r="U15" i="7" s="1"/>
  <c r="R17" i="7"/>
  <c r="R15" i="7" s="1"/>
  <c r="Q52" i="8"/>
  <c r="S8" i="7"/>
  <c r="H8" i="3" s="1"/>
  <c r="V17" i="7"/>
  <c r="V15" i="7" s="1"/>
  <c r="AA44" i="8"/>
  <c r="R52" i="8"/>
  <c r="T8" i="7"/>
  <c r="I8" i="3" s="1"/>
  <c r="S52" i="8"/>
  <c r="U8" i="7"/>
  <c r="J8" i="3" s="1"/>
  <c r="T52" i="8"/>
  <c r="V8" i="7"/>
  <c r="K8" i="3" s="1"/>
  <c r="U52" i="8"/>
  <c r="O36" i="11"/>
  <c r="O16" i="10" s="1"/>
  <c r="N16" i="12"/>
  <c r="D40" i="7"/>
  <c r="C27" i="9"/>
  <c r="C22" i="9"/>
  <c r="B22" i="9"/>
  <c r="B27" i="9"/>
  <c r="C40" i="7"/>
  <c r="W25" i="9"/>
  <c r="W20" i="9"/>
  <c r="B289" i="1"/>
  <c r="F36" i="6"/>
  <c r="F43" i="6"/>
  <c r="F44" i="6" s="1"/>
  <c r="G35" i="6"/>
  <c r="E222" i="1"/>
  <c r="AC27" i="12"/>
  <c r="S83" i="8"/>
  <c r="R83" i="8"/>
  <c r="Q83" i="8"/>
  <c r="C224" i="1"/>
  <c r="AA56" i="8"/>
  <c r="T64" i="8"/>
  <c r="AA29" i="7"/>
  <c r="Z79" i="8"/>
  <c r="U10" i="7"/>
  <c r="J10" i="3" s="1"/>
  <c r="AA9" i="8"/>
  <c r="AA25" i="7"/>
  <c r="AA10" i="7"/>
  <c r="Z13" i="8"/>
  <c r="J31" i="13" l="1"/>
  <c r="I33" i="13"/>
  <c r="D27" i="11"/>
  <c r="C8" i="12"/>
  <c r="C30" i="11"/>
  <c r="C9" i="12"/>
  <c r="P30" i="10"/>
  <c r="Q25" i="10"/>
  <c r="Q17" i="9"/>
  <c r="Z17" i="9" s="1"/>
  <c r="K26" i="9"/>
  <c r="K33" i="9"/>
  <c r="E32" i="3" s="1"/>
  <c r="K32" i="9"/>
  <c r="K48" i="9"/>
  <c r="K7" i="11"/>
  <c r="K10" i="11" s="1"/>
  <c r="K10" i="12"/>
  <c r="E31" i="3"/>
  <c r="J26" i="9"/>
  <c r="J32" i="9"/>
  <c r="J33" i="9"/>
  <c r="D32" i="3" s="1"/>
  <c r="J48" i="9"/>
  <c r="J7" i="11"/>
  <c r="J10" i="11" s="1"/>
  <c r="J10" i="12"/>
  <c r="D31" i="3"/>
  <c r="I26" i="9"/>
  <c r="I48" i="9"/>
  <c r="I32" i="9"/>
  <c r="I33" i="9"/>
  <c r="C32" i="3" s="1"/>
  <c r="I70" i="9"/>
  <c r="I7" i="11"/>
  <c r="I10" i="11" s="1"/>
  <c r="I10" i="12"/>
  <c r="C31" i="3"/>
  <c r="H26" i="9"/>
  <c r="H32" i="9"/>
  <c r="H33" i="9"/>
  <c r="B32" i="3" s="1"/>
  <c r="H70" i="9"/>
  <c r="H7" i="11"/>
  <c r="H10" i="11" s="1"/>
  <c r="H10" i="12"/>
  <c r="B31" i="3"/>
  <c r="G26" i="9"/>
  <c r="G32" i="9"/>
  <c r="G33" i="9"/>
  <c r="G48" i="9"/>
  <c r="G70" i="9"/>
  <c r="G7" i="11"/>
  <c r="G10" i="11" s="1"/>
  <c r="G10" i="12"/>
  <c r="X22" i="9"/>
  <c r="X27" i="9"/>
  <c r="Y40" i="7"/>
  <c r="AO5" i="5"/>
  <c r="AV5" i="5"/>
  <c r="AB5" i="5"/>
  <c r="F26" i="9"/>
  <c r="F32" i="9"/>
  <c r="F33" i="9"/>
  <c r="F70" i="9"/>
  <c r="F48" i="9"/>
  <c r="F7" i="11"/>
  <c r="F10" i="11" s="1"/>
  <c r="X10" i="11" s="1"/>
  <c r="F10" i="12"/>
  <c r="E26" i="9"/>
  <c r="E32" i="9"/>
  <c r="E70" i="9"/>
  <c r="E33" i="9"/>
  <c r="E7" i="11"/>
  <c r="D26" i="9"/>
  <c r="D33" i="9"/>
  <c r="D70" i="9"/>
  <c r="D32" i="9"/>
  <c r="D7" i="11"/>
  <c r="D10" i="11" s="1"/>
  <c r="D10" i="12"/>
  <c r="T86" i="8"/>
  <c r="AA74" i="8"/>
  <c r="AA86" i="8" s="1"/>
  <c r="M8" i="9"/>
  <c r="M9" i="9"/>
  <c r="M24" i="9"/>
  <c r="M34" i="9"/>
  <c r="M9" i="10"/>
  <c r="M11" i="10"/>
  <c r="M35" i="9"/>
  <c r="M22" i="10"/>
  <c r="M39" i="10"/>
  <c r="M33" i="11"/>
  <c r="M17" i="11" s="1"/>
  <c r="M19" i="11" s="1"/>
  <c r="G22" i="3"/>
  <c r="C89" i="6"/>
  <c r="C90" i="6" s="1"/>
  <c r="T53" i="8"/>
  <c r="V9" i="7"/>
  <c r="K9" i="3" s="1"/>
  <c r="S53" i="8"/>
  <c r="U9" i="7"/>
  <c r="J9" i="3" s="1"/>
  <c r="AA45" i="8"/>
  <c r="AA46" i="8" s="1"/>
  <c r="R53" i="8"/>
  <c r="T9" i="7"/>
  <c r="I9" i="3" s="1"/>
  <c r="R19" i="7"/>
  <c r="Q53" i="8"/>
  <c r="S9" i="7"/>
  <c r="H9" i="3" s="1"/>
  <c r="V19" i="7"/>
  <c r="Q19" i="7"/>
  <c r="P53" i="8"/>
  <c r="R9" i="7"/>
  <c r="G9" i="3" s="1"/>
  <c r="U19" i="7"/>
  <c r="P19" i="7"/>
  <c r="O53" i="8"/>
  <c r="Q9" i="7"/>
  <c r="F9" i="3" s="1"/>
  <c r="T19" i="7"/>
  <c r="O9" i="7"/>
  <c r="D9" i="3" s="1"/>
  <c r="O19" i="7"/>
  <c r="Z45" i="8"/>
  <c r="N53" i="8"/>
  <c r="P9" i="7"/>
  <c r="E9" i="3" s="1"/>
  <c r="S19" i="7"/>
  <c r="Y63" i="8"/>
  <c r="I20" i="3"/>
  <c r="L65" i="8"/>
  <c r="G23" i="3" s="1"/>
  <c r="L67" i="8"/>
  <c r="L68" i="8"/>
  <c r="L69" i="8"/>
  <c r="L70" i="8"/>
  <c r="F18" i="6"/>
  <c r="F27" i="6"/>
  <c r="F28" i="6" s="1"/>
  <c r="Y17" i="8"/>
  <c r="Y14" i="8"/>
  <c r="Y18" i="8"/>
  <c r="D223" i="1"/>
  <c r="D224" i="1" s="1"/>
  <c r="AA75" i="7"/>
  <c r="AB75" i="7" s="1"/>
  <c r="Y12" i="12"/>
  <c r="Y7" i="9"/>
  <c r="Y11" i="12" s="1"/>
  <c r="L8" i="9"/>
  <c r="L9" i="9"/>
  <c r="L24" i="9"/>
  <c r="L9" i="10"/>
  <c r="L11" i="11" s="1"/>
  <c r="L11" i="10"/>
  <c r="L13" i="11" s="1"/>
  <c r="L34" i="9"/>
  <c r="L35" i="9"/>
  <c r="L22" i="10"/>
  <c r="L15" i="11" s="1"/>
  <c r="L39" i="10"/>
  <c r="L33" i="11"/>
  <c r="B25" i="12"/>
  <c r="F22" i="3"/>
  <c r="B75" i="4"/>
  <c r="B76" i="4" s="1"/>
  <c r="B89" i="6"/>
  <c r="B90" i="6" s="1"/>
  <c r="Y108" i="8"/>
  <c r="Y103" i="8"/>
  <c r="Y109" i="8"/>
  <c r="P21" i="7"/>
  <c r="N49" i="8"/>
  <c r="AA8" i="7"/>
  <c r="Z46" i="8"/>
  <c r="Z52" i="8"/>
  <c r="E225" i="1"/>
  <c r="E227" i="1" s="1"/>
  <c r="AB8" i="7"/>
  <c r="N47" i="8"/>
  <c r="N48" i="8"/>
  <c r="N54" i="8" s="1"/>
  <c r="N61" i="8"/>
  <c r="N55" i="8"/>
  <c r="R61" i="8"/>
  <c r="N12" i="8"/>
  <c r="N10" i="8"/>
  <c r="N16" i="8"/>
  <c r="Z8" i="8"/>
  <c r="R12" i="8"/>
  <c r="N101" i="8"/>
  <c r="N102" i="8"/>
  <c r="N112" i="8"/>
  <c r="O20" i="7"/>
  <c r="O61" i="8"/>
  <c r="S61" i="8"/>
  <c r="P61" i="8"/>
  <c r="T61" i="8"/>
  <c r="Q61" i="8"/>
  <c r="U61" i="8"/>
  <c r="AA52" i="8"/>
  <c r="F225" i="1"/>
  <c r="B273" i="1"/>
  <c r="P36" i="11"/>
  <c r="P16" i="10" s="1"/>
  <c r="O16" i="12"/>
  <c r="C26" i="9"/>
  <c r="C32" i="9"/>
  <c r="C33" i="9"/>
  <c r="C7" i="11"/>
  <c r="C10" i="11" s="1"/>
  <c r="C10" i="12"/>
  <c r="B26" i="9"/>
  <c r="B32" i="9"/>
  <c r="B33" i="9"/>
  <c r="B7" i="11"/>
  <c r="B10" i="11" s="1"/>
  <c r="W10" i="11" s="1"/>
  <c r="B10" i="12"/>
  <c r="W22" i="9"/>
  <c r="W27" i="9"/>
  <c r="X40" i="7"/>
  <c r="G36" i="6"/>
  <c r="G43" i="6"/>
  <c r="G44" i="6" s="1"/>
  <c r="AB29" i="7"/>
  <c r="K21" i="3"/>
  <c r="AA79" i="8"/>
  <c r="AA83" i="8" s="1"/>
  <c r="AB24" i="7"/>
  <c r="AB22" i="7" s="1"/>
  <c r="AA64" i="8"/>
  <c r="H35" i="6"/>
  <c r="D273" i="1"/>
  <c r="F222" i="1"/>
  <c r="U83" i="8"/>
  <c r="AC28" i="12"/>
  <c r="Z83" i="8"/>
  <c r="U53" i="8"/>
  <c r="V18" i="7"/>
  <c r="U8" i="8"/>
  <c r="U46" i="8"/>
  <c r="T8" i="8"/>
  <c r="U18" i="7"/>
  <c r="T46" i="8"/>
  <c r="S8" i="8"/>
  <c r="T18" i="7"/>
  <c r="S46" i="8"/>
  <c r="R8" i="8"/>
  <c r="S18" i="7"/>
  <c r="R46" i="8"/>
  <c r="Q8" i="8"/>
  <c r="R18" i="7"/>
  <c r="Q46" i="8"/>
  <c r="Q18" i="7"/>
  <c r="P8" i="8"/>
  <c r="P46" i="8"/>
  <c r="P18" i="7"/>
  <c r="O8" i="8"/>
  <c r="O46" i="8"/>
  <c r="M55" i="8"/>
  <c r="Y54" i="8"/>
  <c r="AA13" i="8"/>
  <c r="AB25" i="7"/>
  <c r="AB10" i="7"/>
  <c r="K31" i="13" l="1"/>
  <c r="J33" i="13"/>
  <c r="D25" i="11"/>
  <c r="Q30" i="10"/>
  <c r="R25" i="10"/>
  <c r="Z25" i="10"/>
  <c r="R17" i="9"/>
  <c r="D35" i="13"/>
  <c r="AA38" i="7"/>
  <c r="K52" i="9"/>
  <c r="K54" i="9"/>
  <c r="K29" i="12"/>
  <c r="E35" i="3"/>
  <c r="K49" i="9"/>
  <c r="J52" i="9"/>
  <c r="J49" i="9"/>
  <c r="J29" i="12"/>
  <c r="D35" i="3"/>
  <c r="J54" i="9"/>
  <c r="I52" i="9"/>
  <c r="I49" i="9"/>
  <c r="I54" i="9"/>
  <c r="C35" i="3"/>
  <c r="I75" i="9"/>
  <c r="I29" i="12"/>
  <c r="I71" i="9"/>
  <c r="H75" i="9"/>
  <c r="H71" i="9"/>
  <c r="H29" i="12"/>
  <c r="G52" i="9"/>
  <c r="G49" i="9"/>
  <c r="G55" i="9" s="1"/>
  <c r="G54" i="9"/>
  <c r="G71" i="9"/>
  <c r="G75" i="9"/>
  <c r="G29" i="12"/>
  <c r="X26" i="9"/>
  <c r="X33" i="9"/>
  <c r="C291" i="1" s="1"/>
  <c r="X32" i="9"/>
  <c r="X7" i="11"/>
  <c r="X10" i="12"/>
  <c r="C290" i="1"/>
  <c r="F71" i="9"/>
  <c r="F75" i="9"/>
  <c r="F29" i="12"/>
  <c r="F52" i="9"/>
  <c r="F54" i="9"/>
  <c r="F49" i="9"/>
  <c r="F55" i="9" s="1"/>
  <c r="E71" i="9"/>
  <c r="E75" i="9"/>
  <c r="E29" i="12"/>
  <c r="D71" i="9"/>
  <c r="D75" i="9"/>
  <c r="D29" i="12"/>
  <c r="AC29" i="12" s="1"/>
  <c r="M10" i="10"/>
  <c r="M21" i="10"/>
  <c r="M40" i="10"/>
  <c r="M41" i="10"/>
  <c r="M13" i="9"/>
  <c r="M45" i="9"/>
  <c r="G25" i="3"/>
  <c r="G26" i="3" s="1"/>
  <c r="C62" i="6"/>
  <c r="C63" i="6" s="1"/>
  <c r="C72" i="6"/>
  <c r="Y9" i="10"/>
  <c r="M11" i="11"/>
  <c r="Y11" i="11" s="1"/>
  <c r="Y11" i="10"/>
  <c r="Z48" i="7" s="1"/>
  <c r="M13" i="11"/>
  <c r="Y13" i="11" s="1"/>
  <c r="Y22" i="10"/>
  <c r="Z49" i="7" s="1"/>
  <c r="M15" i="11"/>
  <c r="Y15" i="11" s="1"/>
  <c r="AA53" i="8"/>
  <c r="F226" i="1"/>
  <c r="F228" i="1" s="1"/>
  <c r="C273" i="1"/>
  <c r="Q62" i="8"/>
  <c r="U62" i="8"/>
  <c r="P62" i="8"/>
  <c r="T62" i="8"/>
  <c r="O62" i="8"/>
  <c r="S62" i="8"/>
  <c r="AA9" i="7"/>
  <c r="Z53" i="8"/>
  <c r="E226" i="1"/>
  <c r="E228" i="1" s="1"/>
  <c r="AB9" i="7"/>
  <c r="N62" i="8"/>
  <c r="R62" i="8"/>
  <c r="F89" i="6"/>
  <c r="F90" i="6" s="1"/>
  <c r="I24" i="3" s="1"/>
  <c r="AL5" i="5"/>
  <c r="AM5" i="5" s="1"/>
  <c r="AC5" i="5"/>
  <c r="I22" i="3"/>
  <c r="D287" i="1"/>
  <c r="S357" i="15"/>
  <c r="L357" i="15"/>
  <c r="Y35" i="9"/>
  <c r="Y34" i="9"/>
  <c r="Y8" i="9"/>
  <c r="Y9" i="9" s="1"/>
  <c r="L10" i="10"/>
  <c r="L12" i="11" s="1"/>
  <c r="L21" i="10"/>
  <c r="L40" i="10"/>
  <c r="L41" i="10"/>
  <c r="L13" i="9"/>
  <c r="L45" i="9"/>
  <c r="F25" i="3"/>
  <c r="F26" i="3" s="1"/>
  <c r="B62" i="6"/>
  <c r="B63" i="6" s="1"/>
  <c r="B72" i="6"/>
  <c r="L13" i="10"/>
  <c r="Y33" i="11"/>
  <c r="L17" i="11"/>
  <c r="Q21" i="7"/>
  <c r="O49" i="8"/>
  <c r="Z47" i="8"/>
  <c r="Z61" i="8"/>
  <c r="AA61" i="8"/>
  <c r="N63" i="8"/>
  <c r="N14" i="8"/>
  <c r="N17" i="8"/>
  <c r="N18" i="8"/>
  <c r="N57" i="8"/>
  <c r="N58" i="8" s="1"/>
  <c r="N59" i="8" s="1"/>
  <c r="N7" i="9"/>
  <c r="N11" i="12"/>
  <c r="N12" i="12"/>
  <c r="Z12" i="8"/>
  <c r="AA85" i="7"/>
  <c r="Z10" i="8"/>
  <c r="Z16" i="8" s="1"/>
  <c r="Z112" i="8"/>
  <c r="E221" i="1"/>
  <c r="G17" i="6"/>
  <c r="AA20" i="7"/>
  <c r="N105" i="8"/>
  <c r="N103" i="8"/>
  <c r="N108" i="8"/>
  <c r="N106" i="8"/>
  <c r="N109" i="8"/>
  <c r="Q36" i="11"/>
  <c r="P16" i="12"/>
  <c r="W26" i="9"/>
  <c r="W32" i="9"/>
  <c r="W33" i="9"/>
  <c r="B291" i="1" s="1"/>
  <c r="W7" i="11"/>
  <c r="W10" i="12"/>
  <c r="B290" i="1"/>
  <c r="H36" i="6"/>
  <c r="H43" i="6"/>
  <c r="H44" i="6" s="1"/>
  <c r="V20" i="7"/>
  <c r="U112" i="8"/>
  <c r="U101" i="8"/>
  <c r="U102" i="8" s="1"/>
  <c r="U109" i="8" s="1"/>
  <c r="U10" i="8"/>
  <c r="U16" i="8" s="1"/>
  <c r="U47" i="8"/>
  <c r="U20" i="7"/>
  <c r="T112" i="8"/>
  <c r="T101" i="8"/>
  <c r="T102" i="8" s="1"/>
  <c r="T109" i="8" s="1"/>
  <c r="T10" i="8"/>
  <c r="T16" i="8" s="1"/>
  <c r="T47" i="8"/>
  <c r="T20" i="7"/>
  <c r="S112" i="8"/>
  <c r="S101" i="8"/>
  <c r="S102" i="8" s="1"/>
  <c r="S109" i="8" s="1"/>
  <c r="S10" i="8"/>
  <c r="S16" i="8"/>
  <c r="S47" i="8"/>
  <c r="S20" i="7"/>
  <c r="R112" i="8"/>
  <c r="R101" i="8"/>
  <c r="AA8" i="8"/>
  <c r="R10" i="8"/>
  <c r="R47" i="8"/>
  <c r="R20" i="7"/>
  <c r="Q112" i="8"/>
  <c r="Q101" i="8"/>
  <c r="Q102" i="8" s="1"/>
  <c r="Q10" i="8"/>
  <c r="Q16" i="8"/>
  <c r="U12" i="8"/>
  <c r="Q12" i="8"/>
  <c r="Q47" i="8"/>
  <c r="T12" i="8"/>
  <c r="P10" i="8"/>
  <c r="P16" i="8" s="1"/>
  <c r="Q20" i="7"/>
  <c r="P112" i="8"/>
  <c r="P101" i="8"/>
  <c r="P102" i="8" s="1"/>
  <c r="P12" i="8"/>
  <c r="P47" i="8"/>
  <c r="S12" i="8"/>
  <c r="P20" i="7"/>
  <c r="O112" i="8"/>
  <c r="O101" i="8"/>
  <c r="O10" i="8"/>
  <c r="O16" i="8" s="1"/>
  <c r="O12" i="8"/>
  <c r="O48" i="8"/>
  <c r="O54" i="8" s="1"/>
  <c r="O47" i="8"/>
  <c r="M63" i="8"/>
  <c r="G20" i="3"/>
  <c r="M57" i="8"/>
  <c r="F227" i="1"/>
  <c r="E10" i="11"/>
  <c r="E10" i="12"/>
  <c r="L31" i="13" l="1"/>
  <c r="L33" i="13" s="1"/>
  <c r="B50" i="13" s="1"/>
  <c r="K33" i="13"/>
  <c r="D26" i="11"/>
  <c r="D28" i="11" s="1"/>
  <c r="R30" i="10"/>
  <c r="Z30" i="10"/>
  <c r="S25" i="10"/>
  <c r="S17" i="9"/>
  <c r="K55" i="9"/>
  <c r="K30" i="12"/>
  <c r="E36" i="3"/>
  <c r="J55" i="9"/>
  <c r="J30" i="12"/>
  <c r="D36" i="3"/>
  <c r="I55" i="9"/>
  <c r="C36" i="3"/>
  <c r="I76" i="9"/>
  <c r="I30" i="12"/>
  <c r="H30" i="12"/>
  <c r="H76" i="9"/>
  <c r="G76" i="9"/>
  <c r="G30" i="12"/>
  <c r="F76" i="9"/>
  <c r="F30" i="12"/>
  <c r="E76" i="9"/>
  <c r="E30" i="12"/>
  <c r="D76" i="9"/>
  <c r="D30" i="12"/>
  <c r="Y10" i="10"/>
  <c r="M12" i="11"/>
  <c r="Y21" i="10"/>
  <c r="Y24" i="10" s="1"/>
  <c r="Y28" i="10" s="1"/>
  <c r="M24" i="10"/>
  <c r="M28" i="10" s="1"/>
  <c r="M14" i="11"/>
  <c r="M25" i="9"/>
  <c r="M73" i="8"/>
  <c r="G28" i="3"/>
  <c r="M50" i="9"/>
  <c r="M47" i="9"/>
  <c r="Z62" i="8"/>
  <c r="AA62" i="8"/>
  <c r="D288" i="1"/>
  <c r="I25" i="3"/>
  <c r="I26" i="3" s="1"/>
  <c r="F62" i="6"/>
  <c r="F72" i="6"/>
  <c r="Z47" i="7"/>
  <c r="Z46" i="7"/>
  <c r="Y41" i="10"/>
  <c r="Y40" i="10"/>
  <c r="L24" i="10"/>
  <c r="L28" i="10" s="1"/>
  <c r="L14" i="11"/>
  <c r="L25" i="9"/>
  <c r="Y13" i="9"/>
  <c r="L20" i="9"/>
  <c r="L73" i="8"/>
  <c r="F28" i="3"/>
  <c r="L50" i="9"/>
  <c r="Y45" i="9"/>
  <c r="Y50" i="9" s="1"/>
  <c r="L47" i="9"/>
  <c r="M35" i="11"/>
  <c r="M13" i="10"/>
  <c r="Y17" i="11"/>
  <c r="Z52" i="7" s="1"/>
  <c r="C37" i="13"/>
  <c r="B136" i="13"/>
  <c r="L19" i="11"/>
  <c r="Y19" i="11" s="1"/>
  <c r="R21" i="7"/>
  <c r="P49" i="8"/>
  <c r="P48" i="8" s="1"/>
  <c r="P54" i="8" s="1"/>
  <c r="N65" i="8"/>
  <c r="N67" i="8"/>
  <c r="N68" i="8"/>
  <c r="N69" i="8"/>
  <c r="N70" i="8"/>
  <c r="N8" i="9"/>
  <c r="N9" i="9"/>
  <c r="N24" i="9"/>
  <c r="N9" i="10"/>
  <c r="N11" i="11" s="1"/>
  <c r="N11" i="10"/>
  <c r="N13" i="11" s="1"/>
  <c r="N34" i="9"/>
  <c r="N35" i="9"/>
  <c r="N22" i="10"/>
  <c r="N15" i="11" s="1"/>
  <c r="N39" i="10"/>
  <c r="N33" i="11"/>
  <c r="Z14" i="8"/>
  <c r="Z17" i="8"/>
  <c r="Z18" i="8"/>
  <c r="E223" i="1"/>
  <c r="E224" i="1" s="1"/>
  <c r="Z12" i="12"/>
  <c r="G18" i="6"/>
  <c r="G27" i="6"/>
  <c r="G28" i="6" s="1"/>
  <c r="U103" i="8"/>
  <c r="U108" i="8"/>
  <c r="U17" i="8"/>
  <c r="U7" i="9"/>
  <c r="U11" i="12"/>
  <c r="U12" i="12"/>
  <c r="U18" i="8"/>
  <c r="T103" i="8"/>
  <c r="T108" i="8"/>
  <c r="T17" i="8"/>
  <c r="T18" i="8"/>
  <c r="T7" i="9"/>
  <c r="T11" i="12"/>
  <c r="T12" i="12"/>
  <c r="S103" i="8"/>
  <c r="S108" i="8"/>
  <c r="S17" i="8"/>
  <c r="S18" i="8"/>
  <c r="S7" i="9"/>
  <c r="S11" i="12"/>
  <c r="S12" i="12"/>
  <c r="AA101" i="8"/>
  <c r="AB12" i="7" s="1"/>
  <c r="R103" i="8"/>
  <c r="R108" i="8"/>
  <c r="AA112" i="8"/>
  <c r="F221" i="1"/>
  <c r="H17" i="6"/>
  <c r="AB20" i="7"/>
  <c r="AA10" i="8"/>
  <c r="AA14" i="8" s="1"/>
  <c r="AA16" i="8"/>
  <c r="R17" i="8"/>
  <c r="R18" i="8"/>
  <c r="R7" i="9"/>
  <c r="R11" i="12"/>
  <c r="R12" i="12"/>
  <c r="Q106" i="8"/>
  <c r="U106" i="8"/>
  <c r="Q109" i="8"/>
  <c r="Q105" i="8"/>
  <c r="Q103" i="8"/>
  <c r="U105" i="8"/>
  <c r="Q108" i="8"/>
  <c r="Q14" i="8"/>
  <c r="Q17" i="8"/>
  <c r="Q18" i="8"/>
  <c r="Q7" i="9"/>
  <c r="Q11" i="12"/>
  <c r="Q12" i="12"/>
  <c r="U14" i="8"/>
  <c r="P14" i="8"/>
  <c r="P17" i="8"/>
  <c r="T14" i="8"/>
  <c r="P18" i="8"/>
  <c r="P57" i="8"/>
  <c r="P7" i="9"/>
  <c r="P11" i="12"/>
  <c r="P12" i="12"/>
  <c r="P106" i="8"/>
  <c r="T106" i="8"/>
  <c r="P109" i="8"/>
  <c r="P105" i="8"/>
  <c r="P103" i="8"/>
  <c r="T105" i="8"/>
  <c r="P108" i="8"/>
  <c r="P58" i="8"/>
  <c r="P59" i="8" s="1"/>
  <c r="P63" i="8"/>
  <c r="O105" i="8"/>
  <c r="O103" i="8"/>
  <c r="S105" i="8"/>
  <c r="O108" i="8"/>
  <c r="O14" i="8"/>
  <c r="O17" i="8"/>
  <c r="S14" i="8"/>
  <c r="O18" i="8"/>
  <c r="O57" i="8"/>
  <c r="O7" i="9"/>
  <c r="O12" i="12"/>
  <c r="O55" i="8"/>
  <c r="AB85" i="7"/>
  <c r="Y39" i="10"/>
  <c r="Z45" i="7"/>
  <c r="Y24" i="9"/>
  <c r="Z34" i="7"/>
  <c r="Z36" i="11"/>
  <c r="Q16" i="10"/>
  <c r="R102" i="8"/>
  <c r="R105" i="8"/>
  <c r="AA47" i="8"/>
  <c r="AA12" i="8"/>
  <c r="R14" i="8"/>
  <c r="R16" i="8"/>
  <c r="O102" i="8"/>
  <c r="Z101" i="8"/>
  <c r="Y57" i="8"/>
  <c r="Y58" i="8" s="1"/>
  <c r="M58" i="8"/>
  <c r="E27" i="11" l="1"/>
  <c r="D8" i="12"/>
  <c r="D30" i="11"/>
  <c r="D9" i="12"/>
  <c r="S30" i="10"/>
  <c r="T25" i="10"/>
  <c r="T17" i="9"/>
  <c r="Y12" i="11"/>
  <c r="M10" i="11"/>
  <c r="N28" i="7"/>
  <c r="M78" i="8"/>
  <c r="M85" i="8"/>
  <c r="M76" i="8"/>
  <c r="M80" i="8" s="1"/>
  <c r="M88" i="8"/>
  <c r="M89" i="8"/>
  <c r="M51" i="9"/>
  <c r="G34" i="3"/>
  <c r="C114" i="6"/>
  <c r="C115" i="6" s="1"/>
  <c r="F73" i="6"/>
  <c r="I27" i="3" s="1"/>
  <c r="F63" i="6"/>
  <c r="L10" i="11"/>
  <c r="Y14" i="11"/>
  <c r="Y25" i="9"/>
  <c r="I28" i="3"/>
  <c r="I29" i="3" s="1"/>
  <c r="D289" i="1"/>
  <c r="L21" i="9"/>
  <c r="L22" i="9"/>
  <c r="L27" i="9"/>
  <c r="M28" i="7"/>
  <c r="L78" i="8"/>
  <c r="L85" i="8"/>
  <c r="Y73" i="8"/>
  <c r="L76" i="8"/>
  <c r="L88" i="8"/>
  <c r="L89" i="8"/>
  <c r="L51" i="9"/>
  <c r="Y47" i="9"/>
  <c r="F34" i="3"/>
  <c r="B114" i="6"/>
  <c r="B115" i="6" s="1"/>
  <c r="Y35" i="11"/>
  <c r="M8" i="11"/>
  <c r="N13" i="10"/>
  <c r="Y13" i="10"/>
  <c r="N35" i="11"/>
  <c r="S21" i="7"/>
  <c r="Q49" i="8"/>
  <c r="Q48" i="8" s="1"/>
  <c r="Q54" i="8" s="1"/>
  <c r="Z8" i="9"/>
  <c r="N10" i="10"/>
  <c r="N12" i="11" s="1"/>
  <c r="N21" i="10"/>
  <c r="N40" i="10"/>
  <c r="N41" i="10"/>
  <c r="N13" i="9"/>
  <c r="N45" i="9"/>
  <c r="N17" i="11"/>
  <c r="U8" i="9"/>
  <c r="U9" i="9"/>
  <c r="U24" i="9"/>
  <c r="U34" i="9"/>
  <c r="U35" i="9"/>
  <c r="U9" i="10"/>
  <c r="U11" i="10"/>
  <c r="U22" i="10"/>
  <c r="U39" i="10"/>
  <c r="U33" i="11"/>
  <c r="U17" i="11" s="1"/>
  <c r="U19" i="11" s="1"/>
  <c r="T8" i="9"/>
  <c r="T9" i="9"/>
  <c r="T24" i="9"/>
  <c r="T9" i="10"/>
  <c r="T11" i="10"/>
  <c r="T34" i="9"/>
  <c r="T35" i="9"/>
  <c r="T22" i="10"/>
  <c r="T39" i="10"/>
  <c r="T33" i="11"/>
  <c r="T17" i="11" s="1"/>
  <c r="T19" i="11" s="1"/>
  <c r="S8" i="9"/>
  <c r="S9" i="9"/>
  <c r="S24" i="9"/>
  <c r="S34" i="9"/>
  <c r="S35" i="9"/>
  <c r="S9" i="10"/>
  <c r="S11" i="10"/>
  <c r="S22" i="10"/>
  <c r="S39" i="10"/>
  <c r="S33" i="11"/>
  <c r="S17" i="11" s="1"/>
  <c r="S19" i="11" s="1"/>
  <c r="AA108" i="8"/>
  <c r="H18" i="6"/>
  <c r="H27" i="6"/>
  <c r="H28" i="6" s="1"/>
  <c r="AA17" i="8"/>
  <c r="AA18" i="8"/>
  <c r="F223" i="1"/>
  <c r="F224" i="1" s="1"/>
  <c r="AA12" i="12"/>
  <c r="AA7" i="9"/>
  <c r="AA11" i="12" s="1"/>
  <c r="R8" i="9"/>
  <c r="R9" i="9"/>
  <c r="R24" i="9"/>
  <c r="R9" i="10"/>
  <c r="R11" i="10"/>
  <c r="R13" i="11" s="1"/>
  <c r="R34" i="9"/>
  <c r="R35" i="9"/>
  <c r="R22" i="10"/>
  <c r="R15" i="11" s="1"/>
  <c r="R33" i="11"/>
  <c r="Q8" i="9"/>
  <c r="Q9" i="9"/>
  <c r="Q24" i="9"/>
  <c r="Q34" i="9"/>
  <c r="Q35" i="9"/>
  <c r="Q9" i="10"/>
  <c r="Q11" i="10"/>
  <c r="Q22" i="10"/>
  <c r="Q39" i="10"/>
  <c r="Q33" i="11"/>
  <c r="Q17" i="11" s="1"/>
  <c r="Q19" i="11" s="1"/>
  <c r="P8" i="9"/>
  <c r="P9" i="9"/>
  <c r="P24" i="9"/>
  <c r="P35" i="9"/>
  <c r="P9" i="10"/>
  <c r="P11" i="10"/>
  <c r="P34" i="9"/>
  <c r="P22" i="10"/>
  <c r="P39" i="10"/>
  <c r="P33" i="11"/>
  <c r="P17" i="11" s="1"/>
  <c r="P19" i="11" s="1"/>
  <c r="P65" i="8"/>
  <c r="P67" i="8"/>
  <c r="P68" i="8"/>
  <c r="P69" i="8"/>
  <c r="P70" i="8"/>
  <c r="O8" i="9"/>
  <c r="O9" i="9" s="1"/>
  <c r="O24" i="9" s="1"/>
  <c r="O34" i="9"/>
  <c r="O9" i="10"/>
  <c r="O11" i="11" s="1"/>
  <c r="O11" i="10"/>
  <c r="O13" i="11" s="1"/>
  <c r="O35" i="9"/>
  <c r="O22" i="10"/>
  <c r="O15" i="11" s="1"/>
  <c r="O39" i="10"/>
  <c r="O33" i="11"/>
  <c r="O58" i="8"/>
  <c r="O63" i="8"/>
  <c r="Q16" i="12"/>
  <c r="R36" i="11"/>
  <c r="Z16" i="10"/>
  <c r="Z16" i="12" s="1"/>
  <c r="R16" i="10"/>
  <c r="R109" i="8"/>
  <c r="AA102" i="8"/>
  <c r="R106" i="8"/>
  <c r="O109" i="8"/>
  <c r="S106" i="8"/>
  <c r="O106" i="8"/>
  <c r="Z102" i="8"/>
  <c r="Z108" i="8"/>
  <c r="AA105" i="8"/>
  <c r="Z103" i="8"/>
  <c r="Z105" i="8"/>
  <c r="AA12" i="7"/>
  <c r="Y59" i="8"/>
  <c r="Y65" i="8"/>
  <c r="I23" i="3" s="1"/>
  <c r="Y67" i="8"/>
  <c r="Y68" i="8"/>
  <c r="Y69" i="8"/>
  <c r="Y70" i="8"/>
  <c r="M70" i="8"/>
  <c r="M69" i="8"/>
  <c r="M68" i="8"/>
  <c r="M67" i="8"/>
  <c r="M65" i="8"/>
  <c r="M59" i="8"/>
  <c r="AC30" i="12"/>
  <c r="AC12" i="12"/>
  <c r="P55" i="8"/>
  <c r="Z7" i="9"/>
  <c r="O11" i="12"/>
  <c r="E25" i="11" l="1"/>
  <c r="T30" i="10"/>
  <c r="U25" i="10"/>
  <c r="AA25" i="10" s="1"/>
  <c r="U17" i="9"/>
  <c r="AA17" i="9" s="1"/>
  <c r="AB38" i="7"/>
  <c r="E35" i="13"/>
  <c r="F35" i="13" s="1"/>
  <c r="G35" i="13" s="1"/>
  <c r="H35" i="13" s="1"/>
  <c r="I35" i="13" s="1"/>
  <c r="J35" i="13" s="1"/>
  <c r="K35" i="13" s="1"/>
  <c r="L35" i="13" s="1"/>
  <c r="M19" i="12"/>
  <c r="M82" i="8"/>
  <c r="M13" i="12"/>
  <c r="M14" i="9"/>
  <c r="M15" i="9" s="1"/>
  <c r="L26" i="9"/>
  <c r="L48" i="9"/>
  <c r="L7" i="11"/>
  <c r="L16" i="11" s="1"/>
  <c r="L10" i="12"/>
  <c r="F31" i="3"/>
  <c r="L19" i="12"/>
  <c r="L82" i="8"/>
  <c r="Y78" i="8"/>
  <c r="Y82" i="8" s="1"/>
  <c r="Z28" i="7"/>
  <c r="Y85" i="8"/>
  <c r="Y89" i="8"/>
  <c r="Y88" i="8"/>
  <c r="Y76" i="8"/>
  <c r="L80" i="8"/>
  <c r="L13" i="12"/>
  <c r="L14" i="9"/>
  <c r="L15" i="9" s="1"/>
  <c r="Y51" i="9"/>
  <c r="F114" i="6"/>
  <c r="F115" i="6" s="1"/>
  <c r="I34" i="3"/>
  <c r="C43" i="13"/>
  <c r="Y8" i="11"/>
  <c r="Z53" i="7" s="1"/>
  <c r="O35" i="11"/>
  <c r="N8" i="11"/>
  <c r="T21" i="7"/>
  <c r="R49" i="8"/>
  <c r="R48" i="8" s="1"/>
  <c r="R54" i="8" s="1"/>
  <c r="N24" i="10"/>
  <c r="N28" i="10" s="1"/>
  <c r="N14" i="11"/>
  <c r="N25" i="9"/>
  <c r="N73" i="8"/>
  <c r="N50" i="9"/>
  <c r="N47" i="9"/>
  <c r="N19" i="11"/>
  <c r="Z19" i="11" s="1"/>
  <c r="Z17" i="11"/>
  <c r="U10" i="10"/>
  <c r="U21" i="10"/>
  <c r="U40" i="10"/>
  <c r="U41" i="10"/>
  <c r="U13" i="9"/>
  <c r="U45" i="9"/>
  <c r="AA9" i="10"/>
  <c r="U11" i="11"/>
  <c r="AA11" i="10"/>
  <c r="U13" i="11"/>
  <c r="AA22" i="10"/>
  <c r="U15" i="11"/>
  <c r="T10" i="10"/>
  <c r="T21" i="10"/>
  <c r="T40" i="10"/>
  <c r="T41" i="10"/>
  <c r="T13" i="9"/>
  <c r="T45" i="9"/>
  <c r="S10" i="10"/>
  <c r="S21" i="10"/>
  <c r="S40" i="10"/>
  <c r="S41" i="10"/>
  <c r="S13" i="9"/>
  <c r="S45" i="9"/>
  <c r="AA34" i="9"/>
  <c r="AA35" i="9"/>
  <c r="AA39" i="10"/>
  <c r="F287" i="1"/>
  <c r="K22" i="3"/>
  <c r="H89" i="6"/>
  <c r="H90" i="6" s="1"/>
  <c r="K24" i="3" s="1"/>
  <c r="AB45" i="7"/>
  <c r="AB48" i="7"/>
  <c r="AB49" i="7"/>
  <c r="AA8" i="9"/>
  <c r="AA9" i="9" s="1"/>
  <c r="R10" i="10"/>
  <c r="R21" i="10"/>
  <c r="R40" i="10"/>
  <c r="R41" i="10"/>
  <c r="R13" i="9"/>
  <c r="R45" i="9"/>
  <c r="AA33" i="11"/>
  <c r="R17" i="11"/>
  <c r="Q10" i="10"/>
  <c r="Q21" i="10"/>
  <c r="Q40" i="10"/>
  <c r="Q41" i="10"/>
  <c r="Q13" i="9"/>
  <c r="Q45" i="9"/>
  <c r="Z9" i="10"/>
  <c r="Q11" i="11"/>
  <c r="Z11" i="10"/>
  <c r="AA48" i="7" s="1"/>
  <c r="Q13" i="11"/>
  <c r="Z22" i="10"/>
  <c r="AA49" i="7" s="1"/>
  <c r="Q15" i="11"/>
  <c r="P10" i="10"/>
  <c r="P21" i="10"/>
  <c r="P40" i="10"/>
  <c r="P41" i="10"/>
  <c r="P13" i="9"/>
  <c r="P45" i="9"/>
  <c r="O10" i="10"/>
  <c r="O12" i="11" s="1"/>
  <c r="O21" i="10"/>
  <c r="O40" i="10"/>
  <c r="O41" i="10"/>
  <c r="O13" i="9"/>
  <c r="Z13" i="9" s="1"/>
  <c r="Z25" i="9" s="1"/>
  <c r="O45" i="9"/>
  <c r="Z45" i="9" s="1"/>
  <c r="Z50" i="9" s="1"/>
  <c r="O59" i="8"/>
  <c r="O65" i="8"/>
  <c r="O67" i="8"/>
  <c r="O68" i="8"/>
  <c r="O69" i="8"/>
  <c r="O70" i="8"/>
  <c r="S36" i="11"/>
  <c r="S16" i="10" s="1"/>
  <c r="R16" i="12"/>
  <c r="Z109" i="8"/>
  <c r="AA106" i="8"/>
  <c r="Z106" i="8"/>
  <c r="AA52" i="7"/>
  <c r="AA45" i="7"/>
  <c r="AA34" i="7"/>
  <c r="G89" i="6"/>
  <c r="G90" i="6" s="1"/>
  <c r="J24" i="3" s="1"/>
  <c r="J22" i="3"/>
  <c r="E287" i="1"/>
  <c r="M9" i="1"/>
  <c r="A114" i="13"/>
  <c r="B33" i="12"/>
  <c r="AC33" i="12" s="1"/>
  <c r="Z39" i="10"/>
  <c r="Z35" i="9"/>
  <c r="Z34" i="9"/>
  <c r="Z9" i="9"/>
  <c r="Z24" i="9" s="1"/>
  <c r="D253" i="1"/>
  <c r="D257" i="1" s="1"/>
  <c r="C253" i="1"/>
  <c r="C257" i="1" s="1"/>
  <c r="Z11" i="12"/>
  <c r="AC11" i="12" s="1"/>
  <c r="Y10" i="11"/>
  <c r="T11" i="11"/>
  <c r="T13" i="11"/>
  <c r="T15" i="11"/>
  <c r="S13" i="11"/>
  <c r="AA13" i="11" s="1"/>
  <c r="S15" i="11"/>
  <c r="AA15" i="11" s="1"/>
  <c r="S11" i="11"/>
  <c r="P11" i="11"/>
  <c r="P13" i="11"/>
  <c r="Z13" i="11" s="1"/>
  <c r="P15" i="11"/>
  <c r="Z15" i="11" s="1"/>
  <c r="Q55" i="8"/>
  <c r="Z54" i="8"/>
  <c r="R11" i="11"/>
  <c r="R39" i="10"/>
  <c r="O17" i="11"/>
  <c r="O19" i="11" s="1"/>
  <c r="Z33" i="11"/>
  <c r="AA109" i="8"/>
  <c r="AA103" i="8"/>
  <c r="W25" i="11" l="1"/>
  <c r="E26" i="11"/>
  <c r="E28" i="11" s="1"/>
  <c r="U30" i="10"/>
  <c r="L52" i="9"/>
  <c r="F35" i="3"/>
  <c r="M58" i="7"/>
  <c r="Y80" i="8"/>
  <c r="Y13" i="12"/>
  <c r="Y14" i="9"/>
  <c r="Y15" i="9" s="1"/>
  <c r="U21" i="7"/>
  <c r="S49" i="8"/>
  <c r="S48" i="8" s="1"/>
  <c r="S54" i="8" s="1"/>
  <c r="S55" i="8" s="1"/>
  <c r="R55" i="8"/>
  <c r="N10" i="11"/>
  <c r="E253" i="1"/>
  <c r="E289" i="1"/>
  <c r="J28" i="3"/>
  <c r="J29" i="3" s="1"/>
  <c r="O28" i="7"/>
  <c r="N78" i="8"/>
  <c r="N85" i="8"/>
  <c r="N76" i="8"/>
  <c r="N88" i="8"/>
  <c r="N89" i="8"/>
  <c r="N51" i="9"/>
  <c r="D37" i="13"/>
  <c r="G232" i="1"/>
  <c r="G236" i="1" s="1"/>
  <c r="AA10" i="10"/>
  <c r="U12" i="11"/>
  <c r="AA21" i="10"/>
  <c r="AA24" i="10" s="1"/>
  <c r="AA28" i="10" s="1"/>
  <c r="U24" i="10"/>
  <c r="U28" i="10" s="1"/>
  <c r="U14" i="11"/>
  <c r="U25" i="9"/>
  <c r="U73" i="8"/>
  <c r="U50" i="9"/>
  <c r="U47" i="9"/>
  <c r="U51" i="9" s="1"/>
  <c r="T24" i="10"/>
  <c r="T28" i="10" s="1"/>
  <c r="T14" i="11"/>
  <c r="T25" i="9"/>
  <c r="T73" i="8"/>
  <c r="T50" i="9"/>
  <c r="T47" i="9"/>
  <c r="T51" i="9" s="1"/>
  <c r="S24" i="10"/>
  <c r="S28" i="10" s="1"/>
  <c r="S14" i="11"/>
  <c r="S25" i="9"/>
  <c r="S73" i="8"/>
  <c r="S50" i="9"/>
  <c r="S47" i="9"/>
  <c r="S51" i="9" s="1"/>
  <c r="F288" i="1"/>
  <c r="K25" i="3"/>
  <c r="K26" i="3" s="1"/>
  <c r="H62" i="6"/>
  <c r="H63" i="6" s="1"/>
  <c r="H72" i="6"/>
  <c r="AA40" i="10"/>
  <c r="AA41" i="10"/>
  <c r="AB46" i="7"/>
  <c r="AB47" i="7"/>
  <c r="R24" i="10"/>
  <c r="R28" i="10" s="1"/>
  <c r="R14" i="11"/>
  <c r="AA14" i="11" s="1"/>
  <c r="R25" i="9"/>
  <c r="AA13" i="9"/>
  <c r="R73" i="8"/>
  <c r="R85" i="8" s="1"/>
  <c r="R50" i="9"/>
  <c r="AA45" i="9"/>
  <c r="AA50" i="9" s="1"/>
  <c r="R47" i="9"/>
  <c r="R19" i="11"/>
  <c r="AA19" i="11" s="1"/>
  <c r="AA17" i="11"/>
  <c r="Z10" i="10"/>
  <c r="Q12" i="11"/>
  <c r="Z21" i="10"/>
  <c r="Q24" i="10"/>
  <c r="Q28" i="10" s="1"/>
  <c r="Q14" i="11"/>
  <c r="Q25" i="9"/>
  <c r="Q73" i="8"/>
  <c r="Q50" i="9"/>
  <c r="Q47" i="9"/>
  <c r="Q51" i="9" s="1"/>
  <c r="P24" i="10"/>
  <c r="P28" i="10" s="1"/>
  <c r="P14" i="11"/>
  <c r="P25" i="9"/>
  <c r="P73" i="8"/>
  <c r="P50" i="9"/>
  <c r="P47" i="9"/>
  <c r="P51" i="9" s="1"/>
  <c r="Z12" i="11"/>
  <c r="O24" i="10"/>
  <c r="O28" i="10" s="1"/>
  <c r="O14" i="11"/>
  <c r="O25" i="9"/>
  <c r="O73" i="8"/>
  <c r="Z73" i="8" s="1"/>
  <c r="O50" i="9"/>
  <c r="O47" i="9"/>
  <c r="T36" i="11"/>
  <c r="T16" i="10" s="1"/>
  <c r="S16" i="12"/>
  <c r="B253" i="1"/>
  <c r="E288" i="1"/>
  <c r="J25" i="3"/>
  <c r="J26" i="3" s="1"/>
  <c r="G62" i="6"/>
  <c r="G72" i="6"/>
  <c r="Z11" i="11"/>
  <c r="Q63" i="8"/>
  <c r="Q57" i="8"/>
  <c r="Z55" i="8"/>
  <c r="AA11" i="11"/>
  <c r="S12" i="11"/>
  <c r="T12" i="11"/>
  <c r="R12" i="11"/>
  <c r="P12" i="11"/>
  <c r="P10" i="11" s="1"/>
  <c r="O8" i="11"/>
  <c r="O13" i="10"/>
  <c r="AA24" i="9"/>
  <c r="AB34" i="7"/>
  <c r="W26" i="11" l="1"/>
  <c r="W28" i="11" s="1"/>
  <c r="W8" i="12" s="1"/>
  <c r="W9" i="12"/>
  <c r="F27" i="11"/>
  <c r="E8" i="12"/>
  <c r="E30" i="11"/>
  <c r="E9" i="12"/>
  <c r="AA30" i="10"/>
  <c r="L31" i="10"/>
  <c r="M42" i="7"/>
  <c r="B70" i="13"/>
  <c r="B18" i="13" s="1"/>
  <c r="L20" i="11"/>
  <c r="V21" i="7"/>
  <c r="U49" i="8" s="1"/>
  <c r="U48" i="8" s="1"/>
  <c r="U54" i="8" s="1"/>
  <c r="U55" i="8" s="1"/>
  <c r="T49" i="8"/>
  <c r="T48" i="8" s="1"/>
  <c r="T54" i="8" s="1"/>
  <c r="S63" i="8"/>
  <c r="S57" i="8"/>
  <c r="S58" i="8"/>
  <c r="S78" i="8"/>
  <c r="T28" i="7"/>
  <c r="R57" i="8"/>
  <c r="R63" i="8"/>
  <c r="S28" i="7"/>
  <c r="R78" i="8"/>
  <c r="R58" i="8"/>
  <c r="F254" i="1"/>
  <c r="E255" i="1"/>
  <c r="N19" i="12"/>
  <c r="N82" i="8"/>
  <c r="Z85" i="8"/>
  <c r="Z76" i="8"/>
  <c r="AA85" i="8"/>
  <c r="Z88" i="8"/>
  <c r="Z89" i="8"/>
  <c r="N80" i="8"/>
  <c r="N13" i="12"/>
  <c r="N14" i="9"/>
  <c r="N15" i="9" s="1"/>
  <c r="U76" i="8"/>
  <c r="U88" i="8"/>
  <c r="U89" i="8"/>
  <c r="T76" i="8"/>
  <c r="T88" i="8"/>
  <c r="T89" i="8"/>
  <c r="S76" i="8"/>
  <c r="S88" i="8"/>
  <c r="S89" i="8"/>
  <c r="AA25" i="9"/>
  <c r="F289" i="1"/>
  <c r="K28" i="3"/>
  <c r="K29" i="3" s="1"/>
  <c r="AA73" i="8"/>
  <c r="R76" i="8"/>
  <c r="R88" i="8"/>
  <c r="R89" i="8"/>
  <c r="R51" i="9"/>
  <c r="AA47" i="9"/>
  <c r="AB52" i="7"/>
  <c r="E37" i="13"/>
  <c r="F37" i="13" s="1"/>
  <c r="G37" i="13" s="1"/>
  <c r="H37" i="13" s="1"/>
  <c r="I37" i="13" s="1"/>
  <c r="J37" i="13" s="1"/>
  <c r="K37" i="13" s="1"/>
  <c r="L37" i="13" s="1"/>
  <c r="AA46" i="7"/>
  <c r="Z40" i="10"/>
  <c r="AA47" i="7"/>
  <c r="Z41" i="10"/>
  <c r="Z24" i="10"/>
  <c r="Z28" i="10" s="1"/>
  <c r="Q85" i="8"/>
  <c r="Q76" i="8"/>
  <c r="U85" i="8"/>
  <c r="Q88" i="8"/>
  <c r="Q89" i="8"/>
  <c r="P85" i="8"/>
  <c r="P78" i="8"/>
  <c r="Q28" i="7"/>
  <c r="P76" i="8"/>
  <c r="T85" i="8"/>
  <c r="P88" i="8"/>
  <c r="P89" i="8"/>
  <c r="O78" i="8"/>
  <c r="P28" i="7"/>
  <c r="O85" i="8"/>
  <c r="O76" i="8"/>
  <c r="S85" i="8"/>
  <c r="O88" i="8"/>
  <c r="O89" i="8"/>
  <c r="U36" i="11"/>
  <c r="T16" i="12"/>
  <c r="C254" i="1"/>
  <c r="D254" i="1" s="1"/>
  <c r="B255" i="1"/>
  <c r="G73" i="6"/>
  <c r="J27" i="3" s="1"/>
  <c r="G63" i="6"/>
  <c r="Z48" i="8"/>
  <c r="Z63" i="8"/>
  <c r="Z58" i="8"/>
  <c r="Z78" i="8"/>
  <c r="Z82" i="8" s="1"/>
  <c r="J20" i="3"/>
  <c r="AA28" i="7"/>
  <c r="P35" i="11"/>
  <c r="P13" i="10" s="1"/>
  <c r="U10" i="11"/>
  <c r="Q10" i="11"/>
  <c r="T10" i="11"/>
  <c r="S10" i="11"/>
  <c r="R28" i="7"/>
  <c r="Q78" i="8"/>
  <c r="Z14" i="11"/>
  <c r="O10" i="11"/>
  <c r="Z10" i="11" s="1"/>
  <c r="E232" i="1" s="1"/>
  <c r="E236" i="1" s="1"/>
  <c r="O51" i="9"/>
  <c r="Z47" i="9"/>
  <c r="Z57" i="8"/>
  <c r="Q58" i="8"/>
  <c r="AA12" i="11"/>
  <c r="R10" i="11"/>
  <c r="AA10" i="11" s="1"/>
  <c r="X27" i="11" l="1"/>
  <c r="F25" i="11"/>
  <c r="L33" i="10"/>
  <c r="M41" i="7"/>
  <c r="B16" i="3"/>
  <c r="L31" i="9"/>
  <c r="B20" i="13"/>
  <c r="B19" i="13"/>
  <c r="B21" i="13" s="1"/>
  <c r="B22" i="13" s="1"/>
  <c r="L24" i="11"/>
  <c r="U63" i="8"/>
  <c r="U57" i="8"/>
  <c r="V28" i="7"/>
  <c r="U78" i="8"/>
  <c r="U58" i="8"/>
  <c r="U65" i="8" s="1"/>
  <c r="AA54" i="8"/>
  <c r="T55" i="8"/>
  <c r="S65" i="8"/>
  <c r="S59" i="8"/>
  <c r="S80" i="8"/>
  <c r="S70" i="8"/>
  <c r="S69" i="8"/>
  <c r="S68" i="8"/>
  <c r="S67" i="8"/>
  <c r="S19" i="12"/>
  <c r="S82" i="8"/>
  <c r="R19" i="12"/>
  <c r="R82" i="8"/>
  <c r="R59" i="8"/>
  <c r="R65" i="8"/>
  <c r="R80" i="8"/>
  <c r="R70" i="8"/>
  <c r="R69" i="8"/>
  <c r="R68" i="8"/>
  <c r="R67" i="8"/>
  <c r="Z13" i="12"/>
  <c r="Z14" i="9"/>
  <c r="Z15" i="9" s="1"/>
  <c r="U13" i="12"/>
  <c r="U14" i="9"/>
  <c r="U15" i="9" s="1"/>
  <c r="T13" i="12"/>
  <c r="T14" i="9"/>
  <c r="T15" i="9" s="1"/>
  <c r="S13" i="12"/>
  <c r="S14" i="9"/>
  <c r="S15" i="9" s="1"/>
  <c r="AA76" i="8"/>
  <c r="AA88" i="8"/>
  <c r="AA89" i="8"/>
  <c r="R13" i="12"/>
  <c r="R14" i="9"/>
  <c r="R15" i="9" s="1"/>
  <c r="AA51" i="9"/>
  <c r="K34" i="3"/>
  <c r="H114" i="6"/>
  <c r="H115" i="6" s="1"/>
  <c r="Q13" i="12"/>
  <c r="Q14" i="9"/>
  <c r="Q15" i="9" s="1"/>
  <c r="P19" i="12"/>
  <c r="P82" i="8"/>
  <c r="P80" i="8"/>
  <c r="P13" i="12"/>
  <c r="P14" i="9"/>
  <c r="P15" i="9" s="1"/>
  <c r="O19" i="12"/>
  <c r="O82" i="8"/>
  <c r="O80" i="8"/>
  <c r="O13" i="12"/>
  <c r="O14" i="9"/>
  <c r="O15" i="9" s="1"/>
  <c r="Z65" i="8"/>
  <c r="J23" i="3" s="1"/>
  <c r="Z59" i="8"/>
  <c r="Z67" i="8"/>
  <c r="Z68" i="8"/>
  <c r="Z69" i="8"/>
  <c r="Z70" i="8"/>
  <c r="Z80" i="8"/>
  <c r="Z35" i="11"/>
  <c r="P8" i="11"/>
  <c r="Z8" i="11" s="1"/>
  <c r="Q35" i="11"/>
  <c r="Q19" i="12"/>
  <c r="Q82" i="8"/>
  <c r="G114" i="6"/>
  <c r="G115" i="6" s="1"/>
  <c r="J34" i="3"/>
  <c r="Z51" i="9"/>
  <c r="Q80" i="8"/>
  <c r="Q70" i="8"/>
  <c r="Q69" i="8"/>
  <c r="Q68" i="8"/>
  <c r="Q67" i="8"/>
  <c r="Q59" i="8"/>
  <c r="Q65" i="8"/>
  <c r="AA36" i="11"/>
  <c r="U16" i="10"/>
  <c r="F26" i="11" l="1"/>
  <c r="F28" i="11" s="1"/>
  <c r="L34" i="10"/>
  <c r="L18" i="12"/>
  <c r="L30" i="9"/>
  <c r="L33" i="9"/>
  <c r="L49" i="9"/>
  <c r="F36" i="3" s="1"/>
  <c r="Q9" i="1"/>
  <c r="D8" i="14"/>
  <c r="D40" i="3" s="1"/>
  <c r="A3" i="14"/>
  <c r="L41" i="13"/>
  <c r="K41" i="13"/>
  <c r="J41" i="13"/>
  <c r="I41" i="13"/>
  <c r="H41" i="13"/>
  <c r="G41" i="13"/>
  <c r="F41" i="13"/>
  <c r="E41" i="13"/>
  <c r="D41" i="13"/>
  <c r="C41" i="13"/>
  <c r="B23" i="13"/>
  <c r="B107" i="13" s="1"/>
  <c r="L26" i="11"/>
  <c r="B63" i="13"/>
  <c r="B68" i="13" s="1"/>
  <c r="B138" i="13" s="1"/>
  <c r="U82" i="8"/>
  <c r="U19" i="12"/>
  <c r="U59" i="8"/>
  <c r="U67" i="8"/>
  <c r="U68" i="8"/>
  <c r="U69" i="8"/>
  <c r="U70" i="8"/>
  <c r="U80" i="8"/>
  <c r="AA55" i="8"/>
  <c r="T63" i="8"/>
  <c r="T57" i="8"/>
  <c r="AA57" i="8" s="1"/>
  <c r="T58" i="8"/>
  <c r="T78" i="8"/>
  <c r="U28" i="7"/>
  <c r="AA13" i="12"/>
  <c r="AC13" i="12" s="1"/>
  <c r="AA14" i="9"/>
  <c r="AA15" i="9" s="1"/>
  <c r="AA53" i="7"/>
  <c r="C232" i="1"/>
  <c r="C235" i="1" s="1"/>
  <c r="D43" i="13"/>
  <c r="U16" i="12"/>
  <c r="AC16" i="12" s="1"/>
  <c r="AA16" i="10"/>
  <c r="AA16" i="12" s="1"/>
  <c r="Q8" i="11"/>
  <c r="Q13" i="10"/>
  <c r="G27" i="11" l="1"/>
  <c r="F8" i="12"/>
  <c r="F30" i="11"/>
  <c r="F9" i="12"/>
  <c r="L32" i="9"/>
  <c r="F32" i="3"/>
  <c r="B131" i="6"/>
  <c r="B132" i="6" s="1"/>
  <c r="AA78" i="8"/>
  <c r="AA82" i="8" s="1"/>
  <c r="K20" i="3"/>
  <c r="AB28" i="7"/>
  <c r="AA58" i="8"/>
  <c r="AA48" i="8"/>
  <c r="AA63" i="8"/>
  <c r="T65" i="8"/>
  <c r="T59" i="8"/>
  <c r="T80" i="8"/>
  <c r="T70" i="8"/>
  <c r="T69" i="8"/>
  <c r="T68" i="8"/>
  <c r="T67" i="8"/>
  <c r="T19" i="12"/>
  <c r="AC19" i="12" s="1"/>
  <c r="T82" i="8"/>
  <c r="R35" i="11"/>
  <c r="Z13" i="10"/>
  <c r="R13" i="10"/>
  <c r="G25" i="11" l="1"/>
  <c r="AA65" i="8"/>
  <c r="K23" i="3" s="1"/>
  <c r="AA59" i="8"/>
  <c r="AA67" i="8"/>
  <c r="AA68" i="8"/>
  <c r="AA69" i="8"/>
  <c r="AA70" i="8"/>
  <c r="AA80" i="8"/>
  <c r="R8" i="11"/>
  <c r="S35" i="11"/>
  <c r="G26" i="11" l="1"/>
  <c r="G28" i="11" s="1"/>
  <c r="S8" i="11"/>
  <c r="S13" i="10"/>
  <c r="H27" i="11" l="1"/>
  <c r="G8" i="12"/>
  <c r="G30" i="11"/>
  <c r="G9" i="12"/>
  <c r="T35" i="11"/>
  <c r="T13" i="10"/>
  <c r="H25" i="11" l="1"/>
  <c r="T8" i="11"/>
  <c r="U35" i="11"/>
  <c r="H26" i="11" l="1"/>
  <c r="H28" i="11" s="1"/>
  <c r="U8" i="11"/>
  <c r="AA8" i="11" s="1"/>
  <c r="AA35" i="11"/>
  <c r="U13" i="10"/>
  <c r="AA13" i="10" s="1"/>
  <c r="I27" i="11" l="1"/>
  <c r="H8" i="12"/>
  <c r="H30" i="11"/>
  <c r="H9" i="12"/>
  <c r="AB53" i="7"/>
  <c r="E43" i="13"/>
  <c r="F43" i="13" s="1"/>
  <c r="G43" i="13" s="1"/>
  <c r="H43" i="13" s="1"/>
  <c r="I43" i="13" s="1"/>
  <c r="J43" i="13" s="1"/>
  <c r="K43" i="13" s="1"/>
  <c r="L43" i="13" s="1"/>
  <c r="I25" i="11" l="1"/>
  <c r="B55" i="13"/>
  <c r="B56" i="13" s="1"/>
  <c r="B54" i="13"/>
  <c r="X25" i="11" l="1"/>
  <c r="I26" i="11"/>
  <c r="I28" i="11" s="1"/>
  <c r="X26" i="11" l="1"/>
  <c r="X28" i="11" s="1"/>
  <c r="J27" i="11"/>
  <c r="I8" i="12"/>
  <c r="I30" i="11"/>
  <c r="I9" i="12"/>
  <c r="Y27" i="11" l="1"/>
  <c r="J25" i="11"/>
  <c r="X8" i="12"/>
  <c r="X9" i="12"/>
  <c r="J26" i="11" l="1"/>
  <c r="J28" i="11" s="1"/>
  <c r="K27" i="11" l="1"/>
  <c r="J8" i="12"/>
  <c r="J30" i="11"/>
  <c r="J9" i="12"/>
  <c r="K25" i="11" l="1"/>
  <c r="Y25" i="11" l="1"/>
  <c r="K26" i="11"/>
  <c r="K28" i="11" s="1"/>
  <c r="L27" i="11" l="1"/>
  <c r="K8" i="12"/>
  <c r="K30" i="11"/>
  <c r="K9" i="12"/>
  <c r="L28" i="11" l="1"/>
  <c r="L9" i="12"/>
  <c r="L8" i="12" l="1"/>
  <c r="L7" i="10"/>
  <c r="M27" i="11"/>
  <c r="L17" i="12" l="1"/>
  <c r="M16" i="9"/>
  <c r="L12" i="10"/>
  <c r="C36" i="13" l="1"/>
  <c r="B135" i="13" s="1"/>
  <c r="Y16" i="9"/>
  <c r="M19" i="9"/>
  <c r="M20" i="9" s="1"/>
  <c r="L19" i="10"/>
  <c r="L38" i="10"/>
  <c r="Y19" i="9" l="1"/>
  <c r="Y20" i="9" s="1"/>
  <c r="Z37" i="7"/>
  <c r="M21" i="9"/>
  <c r="L35" i="10"/>
  <c r="L7" i="12"/>
  <c r="Z40" i="7" l="1"/>
  <c r="Y27" i="9"/>
  <c r="Y22" i="9"/>
  <c r="Y21" i="9"/>
  <c r="M27" i="9"/>
  <c r="M22" i="9"/>
  <c r="Y26" i="9" l="1"/>
  <c r="Y7" i="11"/>
  <c r="Y10" i="12"/>
  <c r="D290" i="1"/>
  <c r="I31" i="3"/>
  <c r="G31" i="3"/>
  <c r="M10" i="12"/>
  <c r="M7" i="11"/>
  <c r="M16" i="11" s="1"/>
  <c r="M48" i="9"/>
  <c r="M26" i="9"/>
  <c r="C34" i="13" l="1"/>
  <c r="Y16" i="11"/>
  <c r="N58" i="7"/>
  <c r="Y48" i="9"/>
  <c r="M52" i="9"/>
  <c r="G35" i="3"/>
  <c r="B133" i="13" l="1"/>
  <c r="C38" i="13"/>
  <c r="D244" i="1"/>
  <c r="M31" i="10"/>
  <c r="N42" i="7"/>
  <c r="Z58" i="7"/>
  <c r="M20" i="11"/>
  <c r="I35" i="3"/>
  <c r="Y52" i="9"/>
  <c r="B109" i="13" l="1"/>
  <c r="C40" i="13"/>
  <c r="M33" i="10"/>
  <c r="Y31" i="10"/>
  <c r="Y33" i="10" s="1"/>
  <c r="N41" i="7"/>
  <c r="C16" i="3"/>
  <c r="M31" i="9"/>
  <c r="Z42" i="7"/>
  <c r="Y20" i="11"/>
  <c r="M24" i="11"/>
  <c r="C42" i="13" l="1"/>
  <c r="C123" i="13"/>
  <c r="C124" i="13"/>
  <c r="M34" i="10"/>
  <c r="M18" i="12"/>
  <c r="Y34" i="10"/>
  <c r="Y18" i="12"/>
  <c r="Z41" i="7"/>
  <c r="M30" i="9"/>
  <c r="Y31" i="9"/>
  <c r="M33" i="9"/>
  <c r="M49" i="9"/>
  <c r="G36" i="3" s="1"/>
  <c r="D240" i="1"/>
  <c r="D243" i="1" s="1"/>
  <c r="D245" i="1"/>
  <c r="M26" i="11"/>
  <c r="M28" i="11" s="1"/>
  <c r="M9" i="12" s="1"/>
  <c r="Y24" i="11"/>
  <c r="Y30" i="9" l="1"/>
  <c r="Y32" i="9" s="1"/>
  <c r="M32" i="9"/>
  <c r="Y49" i="9"/>
  <c r="Y33" i="9"/>
  <c r="G32" i="3"/>
  <c r="C131" i="6"/>
  <c r="C132" i="6" s="1"/>
  <c r="M7" i="10"/>
  <c r="M8" i="12" s="1"/>
  <c r="N27" i="11"/>
  <c r="Y26" i="11"/>
  <c r="Y28" i="11" s="1"/>
  <c r="Y9" i="12" s="1"/>
  <c r="F46" i="14" l="1"/>
  <c r="I36" i="3"/>
  <c r="F131" i="6"/>
  <c r="F132" i="6" s="1"/>
  <c r="D291" i="1"/>
  <c r="I32" i="3"/>
  <c r="Y7" i="10"/>
  <c r="M17" i="12"/>
  <c r="N16" i="9"/>
  <c r="M12" i="10"/>
  <c r="Z27" i="11"/>
  <c r="Y8" i="12" l="1"/>
  <c r="Y17" i="12"/>
  <c r="Y12" i="10"/>
  <c r="N19" i="9"/>
  <c r="N20" i="9" s="1"/>
  <c r="M19" i="10"/>
  <c r="M38" i="10"/>
  <c r="Y19" i="10" l="1"/>
  <c r="Y38" i="10"/>
  <c r="N21" i="9"/>
  <c r="M35" i="10"/>
  <c r="M7" i="12"/>
  <c r="Y35" i="10" l="1"/>
  <c r="Y7" i="12"/>
  <c r="N27" i="9"/>
  <c r="N22" i="9"/>
  <c r="N10" i="12" l="1"/>
  <c r="N7" i="11"/>
  <c r="N16" i="11" s="1"/>
  <c r="N48" i="9"/>
  <c r="N26" i="9"/>
  <c r="O58" i="7" l="1"/>
  <c r="N52" i="9"/>
  <c r="N31" i="10" l="1"/>
  <c r="O42" i="7"/>
  <c r="N20" i="11"/>
  <c r="N33" i="10" l="1"/>
  <c r="O41" i="7"/>
  <c r="D16" i="3"/>
  <c r="N31" i="9"/>
  <c r="N24" i="11"/>
  <c r="N34" i="10" l="1"/>
  <c r="N18" i="12"/>
  <c r="N30" i="9"/>
  <c r="N33" i="9"/>
  <c r="N49" i="9"/>
  <c r="N26" i="11"/>
  <c r="N28" i="11" s="1"/>
  <c r="N9" i="12"/>
  <c r="N32" i="9" l="1"/>
  <c r="N7" i="10"/>
  <c r="N8" i="12" s="1"/>
  <c r="O27" i="11"/>
  <c r="N17" i="12" l="1"/>
  <c r="O16" i="9"/>
  <c r="N12" i="10"/>
  <c r="O19" i="9" l="1"/>
  <c r="O20" i="9" s="1"/>
  <c r="N19" i="10"/>
  <c r="N38" i="10"/>
  <c r="O27" i="9" l="1"/>
  <c r="O21" i="9"/>
  <c r="O22" i="9" s="1"/>
  <c r="N35" i="10"/>
  <c r="N7" i="12"/>
  <c r="O26" i="9" l="1"/>
  <c r="O48" i="9"/>
  <c r="O7" i="11"/>
  <c r="O52" i="9" l="1"/>
  <c r="O16" i="11"/>
  <c r="O10" i="12"/>
  <c r="P58" i="7" l="1"/>
  <c r="O31" i="10" l="1"/>
  <c r="P42" i="7"/>
  <c r="O20" i="11"/>
  <c r="O33" i="10" l="1"/>
  <c r="P41" i="7"/>
  <c r="E16" i="3"/>
  <c r="O31" i="9"/>
  <c r="O24" i="11"/>
  <c r="O34" i="10" l="1"/>
  <c r="O18" i="12"/>
  <c r="O30" i="9"/>
  <c r="O33" i="9"/>
  <c r="O49" i="9"/>
  <c r="O26" i="11"/>
  <c r="O28" i="11" s="1"/>
  <c r="O9" i="12"/>
  <c r="O32" i="9" l="1"/>
  <c r="O8" i="12"/>
  <c r="O7" i="10"/>
  <c r="P27" i="11"/>
  <c r="O12" i="10" l="1"/>
  <c r="O17" i="12"/>
  <c r="P16" i="9"/>
  <c r="O19" i="10" l="1"/>
  <c r="O38" i="10"/>
  <c r="P19" i="9"/>
  <c r="P20" i="9" s="1"/>
  <c r="O35" i="10" l="1"/>
  <c r="O7" i="12"/>
  <c r="P21" i="9"/>
  <c r="P27" i="9" l="1"/>
  <c r="P22" i="9"/>
  <c r="P10" i="12" l="1"/>
  <c r="P7" i="11"/>
  <c r="P16" i="11" s="1"/>
  <c r="P48" i="9"/>
  <c r="P26" i="9"/>
  <c r="Q58" i="7" l="1"/>
  <c r="P52" i="9"/>
  <c r="P31" i="10" l="1"/>
  <c r="Q42" i="7"/>
  <c r="P20" i="11"/>
  <c r="P33" i="10" l="1"/>
  <c r="Q41" i="7"/>
  <c r="F16" i="3"/>
  <c r="P31" i="9"/>
  <c r="P24" i="11"/>
  <c r="P34" i="10" l="1"/>
  <c r="P18" i="12"/>
  <c r="P30" i="9"/>
  <c r="P33" i="9"/>
  <c r="P49" i="9"/>
  <c r="P26" i="11"/>
  <c r="P28" i="11" s="1"/>
  <c r="P9" i="12"/>
  <c r="P32" i="9" l="1"/>
  <c r="P8" i="12"/>
  <c r="P7" i="10"/>
  <c r="Q27" i="11"/>
  <c r="P17" i="12" l="1"/>
  <c r="Q16" i="9"/>
  <c r="P12" i="10"/>
  <c r="Z16" i="9" l="1"/>
  <c r="Q19" i="9"/>
  <c r="Q20" i="9" s="1"/>
  <c r="P19" i="10"/>
  <c r="P38" i="10"/>
  <c r="D36" i="13" l="1"/>
  <c r="Z19" i="9"/>
  <c r="AA37" i="7"/>
  <c r="Q21" i="9"/>
  <c r="P35" i="10"/>
  <c r="P7" i="12"/>
  <c r="Z20" i="9" l="1"/>
  <c r="F253" i="1"/>
  <c r="F256" i="1" s="1"/>
  <c r="Z21" i="9"/>
  <c r="G253" i="1" s="1"/>
  <c r="G257" i="1" s="1"/>
  <c r="Q27" i="9"/>
  <c r="Q22" i="9"/>
  <c r="AA40" i="7" l="1"/>
  <c r="Z27" i="9"/>
  <c r="Z22" i="9"/>
  <c r="Q7" i="11"/>
  <c r="Q48" i="9"/>
  <c r="Q26" i="9"/>
  <c r="Z26" i="9" l="1"/>
  <c r="Z7" i="11"/>
  <c r="B232" i="1" s="1"/>
  <c r="Z10" i="12"/>
  <c r="H253" i="1"/>
  <c r="E290" i="1"/>
  <c r="J31" i="3"/>
  <c r="Z48" i="9"/>
  <c r="Q52" i="9"/>
  <c r="Q16" i="11"/>
  <c r="Q10" i="12"/>
  <c r="C233" i="1" l="1"/>
  <c r="D233" i="1" s="1"/>
  <c r="B234" i="1"/>
  <c r="G254" i="1"/>
  <c r="H255" i="1"/>
  <c r="J35" i="3"/>
  <c r="Z52" i="9"/>
  <c r="R58" i="7"/>
  <c r="Z16" i="11"/>
  <c r="Q31" i="10" l="1"/>
  <c r="R42" i="7"/>
  <c r="AA58" i="7"/>
  <c r="Q20" i="11"/>
  <c r="E244" i="1"/>
  <c r="H232" i="1"/>
  <c r="F232" i="1"/>
  <c r="A4" i="1"/>
  <c r="D34" i="13"/>
  <c r="D38" i="13" s="1"/>
  <c r="D40" i="13" s="1"/>
  <c r="Q33" i="10" l="1"/>
  <c r="Z31" i="10"/>
  <c r="Z33" i="10" s="1"/>
  <c r="R41" i="7"/>
  <c r="G16" i="3"/>
  <c r="Q31" i="9"/>
  <c r="AA42" i="7"/>
  <c r="Z20" i="11"/>
  <c r="Q24" i="11"/>
  <c r="G233" i="1"/>
  <c r="H234" i="1"/>
  <c r="E233" i="1"/>
  <c r="F234" i="1"/>
  <c r="D42" i="13"/>
  <c r="D123" i="13"/>
  <c r="D124" i="13"/>
  <c r="Q34" i="10" l="1"/>
  <c r="Q18" i="12"/>
  <c r="Z34" i="10"/>
  <c r="Z18" i="12"/>
  <c r="AA41" i="7"/>
  <c r="Q30" i="9"/>
  <c r="Z31" i="9"/>
  <c r="Q33" i="9"/>
  <c r="Q49" i="9"/>
  <c r="E245" i="1"/>
  <c r="E240" i="1"/>
  <c r="E243" i="1" s="1"/>
  <c r="Q26" i="11"/>
  <c r="Q28" i="11" s="1"/>
  <c r="Q9" i="12"/>
  <c r="Z24" i="11"/>
  <c r="Z30" i="9" l="1"/>
  <c r="Z32" i="9" s="1"/>
  <c r="Q32" i="9"/>
  <c r="Z33" i="9"/>
  <c r="Z49" i="9"/>
  <c r="J36" i="3" s="1"/>
  <c r="Q7" i="10"/>
  <c r="Q8" i="12" s="1"/>
  <c r="R27" i="11"/>
  <c r="Z26" i="11"/>
  <c r="Z28" i="11" s="1"/>
  <c r="Z9" i="12" s="1"/>
  <c r="F47" i="14" l="1"/>
  <c r="B64" i="14"/>
  <c r="A12" i="1"/>
  <c r="E291" i="1"/>
  <c r="J32" i="3"/>
  <c r="G131" i="6"/>
  <c r="G132" i="6" s="1"/>
  <c r="Z7" i="10"/>
  <c r="Q12" i="10"/>
  <c r="Q17" i="12"/>
  <c r="R16" i="9"/>
  <c r="AA27" i="11"/>
  <c r="D75" i="14" l="1"/>
  <c r="B66" i="14"/>
  <c r="B67" i="14" s="1"/>
  <c r="C78" i="14"/>
  <c r="C79" i="14"/>
  <c r="C80" i="14"/>
  <c r="C81" i="14"/>
  <c r="C82" i="14"/>
  <c r="Z8" i="12"/>
  <c r="Z12" i="10"/>
  <c r="Z17" i="12"/>
  <c r="Q19" i="10"/>
  <c r="Q38" i="10"/>
  <c r="R19" i="9"/>
  <c r="R20" i="9" s="1"/>
  <c r="B68" i="14" l="1"/>
  <c r="I9" i="1" s="1"/>
  <c r="B35" i="14"/>
  <c r="Z19" i="10"/>
  <c r="Z38" i="10"/>
  <c r="Q35" i="10"/>
  <c r="Q7" i="12"/>
  <c r="R27" i="9"/>
  <c r="R22" i="9"/>
  <c r="R21" i="9"/>
  <c r="D35" i="14" l="1"/>
  <c r="Z35" i="10"/>
  <c r="Z7" i="12"/>
  <c r="R26" i="9"/>
  <c r="R48" i="9"/>
  <c r="R7" i="11"/>
  <c r="R16" i="11" s="1"/>
  <c r="R10" i="12"/>
  <c r="R52" i="9" l="1"/>
  <c r="S58" i="7"/>
  <c r="R31" i="10" l="1"/>
  <c r="S42" i="7"/>
  <c r="R20" i="11"/>
  <c r="R33" i="10" l="1"/>
  <c r="S41" i="7"/>
  <c r="H16" i="3"/>
  <c r="R31" i="9"/>
  <c r="R24" i="11"/>
  <c r="R34" i="10" l="1"/>
  <c r="R18" i="12"/>
  <c r="R30" i="9"/>
  <c r="R33" i="9"/>
  <c r="R49" i="9"/>
  <c r="R26" i="11"/>
  <c r="R28" i="11" s="1"/>
  <c r="R9" i="12" s="1"/>
  <c r="R32" i="9" l="1"/>
  <c r="R8" i="12"/>
  <c r="R7" i="10"/>
  <c r="S27" i="11"/>
  <c r="R12" i="10" l="1"/>
  <c r="R17" i="12"/>
  <c r="S16" i="9"/>
  <c r="R19" i="10" l="1"/>
  <c r="R38" i="10"/>
  <c r="S19" i="9"/>
  <c r="S20" i="9" s="1"/>
  <c r="R35" i="10" l="1"/>
  <c r="R7" i="12"/>
  <c r="S21" i="9"/>
  <c r="S27" i="9" l="1"/>
  <c r="S22" i="9"/>
  <c r="S7" i="11" l="1"/>
  <c r="S48" i="9"/>
  <c r="S26" i="9"/>
  <c r="S52" i="9" l="1"/>
  <c r="S16" i="11"/>
  <c r="S10" i="12"/>
  <c r="T58" i="7" l="1"/>
  <c r="S31" i="10" l="1"/>
  <c r="T42" i="7"/>
  <c r="S20" i="11"/>
  <c r="S33" i="10" l="1"/>
  <c r="T41" i="7"/>
  <c r="I16" i="3"/>
  <c r="S31" i="9"/>
  <c r="S24" i="11"/>
  <c r="S34" i="10" l="1"/>
  <c r="S18" i="12"/>
  <c r="S30" i="9"/>
  <c r="S33" i="9"/>
  <c r="S49" i="9"/>
  <c r="S26" i="11"/>
  <c r="S28" i="11" s="1"/>
  <c r="S9" i="12" s="1"/>
  <c r="S32" i="9" l="1"/>
  <c r="S7" i="10"/>
  <c r="S8" i="12" s="1"/>
  <c r="T27" i="11"/>
  <c r="S12" i="10" l="1"/>
  <c r="S17" i="12"/>
  <c r="T16" i="9"/>
  <c r="S19" i="10" l="1"/>
  <c r="S38" i="10"/>
  <c r="T19" i="9"/>
  <c r="T20" i="9" s="1"/>
  <c r="S35" i="10" l="1"/>
  <c r="S7" i="12"/>
  <c r="T21" i="9"/>
  <c r="T27" i="9" l="1"/>
  <c r="T22" i="9"/>
  <c r="T10" i="12" l="1"/>
  <c r="T7" i="11"/>
  <c r="T16" i="11" s="1"/>
  <c r="T48" i="9"/>
  <c r="T26" i="9"/>
  <c r="U58" i="7" l="1"/>
  <c r="T52" i="9"/>
  <c r="T31" i="10" l="1"/>
  <c r="U42" i="7"/>
  <c r="T20" i="11"/>
  <c r="T33" i="10" l="1"/>
  <c r="U41" i="7"/>
  <c r="J16" i="3"/>
  <c r="T31" i="9"/>
  <c r="T24" i="11"/>
  <c r="T34" i="10" l="1"/>
  <c r="T18" i="12"/>
  <c r="T30" i="9"/>
  <c r="T49" i="9"/>
  <c r="T33" i="9"/>
  <c r="T26" i="11"/>
  <c r="T28" i="11" s="1"/>
  <c r="T9" i="12" s="1"/>
  <c r="T32" i="9" l="1"/>
  <c r="T7" i="10"/>
  <c r="T8" i="12" s="1"/>
  <c r="U27" i="11"/>
  <c r="T12" i="10" l="1"/>
  <c r="T17" i="12"/>
  <c r="U16" i="9"/>
  <c r="T19" i="10" l="1"/>
  <c r="T38" i="10"/>
  <c r="AA16" i="9"/>
  <c r="U19" i="9"/>
  <c r="U20" i="9" s="1"/>
  <c r="T35" i="10" l="1"/>
  <c r="T7" i="12"/>
  <c r="E36" i="13"/>
  <c r="F36" i="13" s="1"/>
  <c r="G36" i="13" s="1"/>
  <c r="H36" i="13" s="1"/>
  <c r="I36" i="13" s="1"/>
  <c r="J36" i="13" s="1"/>
  <c r="K36" i="13" s="1"/>
  <c r="L36" i="13" s="1"/>
  <c r="AA19" i="9"/>
  <c r="AA20" i="9" s="1"/>
  <c r="AB37" i="7"/>
  <c r="U21" i="9"/>
  <c r="AB40" i="7" l="1"/>
  <c r="AA27" i="9"/>
  <c r="AA22" i="9"/>
  <c r="AA21" i="9"/>
  <c r="U27" i="9"/>
  <c r="U22" i="9"/>
  <c r="AA26" i="9" l="1"/>
  <c r="AA7" i="11"/>
  <c r="AA10" i="12"/>
  <c r="F290" i="1"/>
  <c r="K31" i="3"/>
  <c r="U10" i="12"/>
  <c r="AC10" i="12" s="1"/>
  <c r="U7" i="11"/>
  <c r="U16" i="11" s="1"/>
  <c r="U48" i="9"/>
  <c r="U26" i="9"/>
  <c r="AA16" i="11" l="1"/>
  <c r="V58" i="7"/>
  <c r="AA48" i="9"/>
  <c r="U52" i="9"/>
  <c r="F244" i="1" l="1"/>
  <c r="E34" i="13"/>
  <c r="U31" i="10"/>
  <c r="V42" i="7"/>
  <c r="AB58" i="7"/>
  <c r="U20" i="11"/>
  <c r="K35" i="3"/>
  <c r="AA52" i="9"/>
  <c r="C248" i="1" l="1"/>
  <c r="A156" i="1"/>
  <c r="F34" i="13"/>
  <c r="E38" i="13"/>
  <c r="E40" i="13" s="1"/>
  <c r="U33" i="10"/>
  <c r="AA31" i="10"/>
  <c r="AA33" i="10" s="1"/>
  <c r="V41" i="7"/>
  <c r="K16" i="3"/>
  <c r="U31" i="9"/>
  <c r="AB42" i="7"/>
  <c r="AA20" i="11"/>
  <c r="U24" i="11"/>
  <c r="G34" i="13" l="1"/>
  <c r="F38" i="13"/>
  <c r="F40" i="13" s="1"/>
  <c r="B81" i="13"/>
  <c r="E84" i="13" s="1"/>
  <c r="F84" i="13" s="1"/>
  <c r="G84" i="13" s="1"/>
  <c r="H84" i="13" s="1"/>
  <c r="I84" i="13" s="1"/>
  <c r="J84" i="13" s="1"/>
  <c r="K84" i="13" s="1"/>
  <c r="L84" i="13" s="1"/>
  <c r="B82" i="13"/>
  <c r="E85" i="13" s="1"/>
  <c r="F85" i="13" s="1"/>
  <c r="G85" i="13" s="1"/>
  <c r="H85" i="13" s="1"/>
  <c r="I85" i="13" s="1"/>
  <c r="J85" i="13" s="1"/>
  <c r="K85" i="13" s="1"/>
  <c r="L85" i="13" s="1"/>
  <c r="B80" i="13"/>
  <c r="E42" i="13"/>
  <c r="E44" i="13"/>
  <c r="E83" i="13"/>
  <c r="F83" i="13" s="1"/>
  <c r="G83" i="13" s="1"/>
  <c r="H83" i="13" s="1"/>
  <c r="I83" i="13" s="1"/>
  <c r="J83" i="13" s="1"/>
  <c r="K83" i="13" s="1"/>
  <c r="L83" i="13" s="1"/>
  <c r="E123" i="13"/>
  <c r="E124" i="13"/>
  <c r="U18" i="12"/>
  <c r="U34" i="10"/>
  <c r="AA18" i="12"/>
  <c r="AA34" i="10"/>
  <c r="AB41" i="7"/>
  <c r="U30" i="9"/>
  <c r="AA31" i="9"/>
  <c r="U33" i="9"/>
  <c r="U49" i="9"/>
  <c r="F245" i="1"/>
  <c r="C249" i="1" s="1"/>
  <c r="F240" i="1"/>
  <c r="F243" i="1" s="1"/>
  <c r="U26" i="11"/>
  <c r="U28" i="11" s="1"/>
  <c r="U9" i="12"/>
  <c r="AA24" i="11"/>
  <c r="H34" i="13" l="1"/>
  <c r="G38" i="13"/>
  <c r="G40" i="13" s="1"/>
  <c r="F42" i="13"/>
  <c r="F44" i="13"/>
  <c r="F124" i="13"/>
  <c r="D84" i="13"/>
  <c r="C84" i="13"/>
  <c r="D85" i="13"/>
  <c r="C85" i="13"/>
  <c r="D83" i="13"/>
  <c r="C83" i="13"/>
  <c r="F123" i="13"/>
  <c r="AA30" i="9"/>
  <c r="AA32" i="9" s="1"/>
  <c r="U32" i="9"/>
  <c r="AA49" i="9"/>
  <c r="K36" i="3" s="1"/>
  <c r="AA33" i="9"/>
  <c r="U7" i="10"/>
  <c r="U8" i="12" s="1"/>
  <c r="AA9" i="12"/>
  <c r="AC9" i="12" s="1"/>
  <c r="AA26" i="11"/>
  <c r="AA28" i="11" s="1"/>
  <c r="AC18" i="12"/>
  <c r="I34" i="13" l="1"/>
  <c r="H38" i="13"/>
  <c r="H40" i="13" s="1"/>
  <c r="G42" i="13"/>
  <c r="G44" i="13"/>
  <c r="G124" i="13"/>
  <c r="H81" i="13"/>
  <c r="G81" i="13"/>
  <c r="H82" i="13"/>
  <c r="G82" i="13"/>
  <c r="H80" i="13"/>
  <c r="G80" i="13"/>
  <c r="I80" i="13" s="1"/>
  <c r="F291" i="1"/>
  <c r="K32" i="3"/>
  <c r="H131" i="6"/>
  <c r="H132" i="6" s="1"/>
  <c r="AA7" i="10"/>
  <c r="U17" i="12"/>
  <c r="U12" i="10"/>
  <c r="G123" i="13"/>
  <c r="H123" i="13" s="1"/>
  <c r="I123" i="13" s="1"/>
  <c r="J123" i="13" s="1"/>
  <c r="K123" i="13" s="1"/>
  <c r="L123" i="13" s="1"/>
  <c r="I120" i="13"/>
  <c r="J34" i="13" l="1"/>
  <c r="I38" i="13"/>
  <c r="I40" i="13" s="1"/>
  <c r="H42" i="13"/>
  <c r="H44" i="13"/>
  <c r="H124" i="13"/>
  <c r="I81" i="13"/>
  <c r="B9" i="14"/>
  <c r="I82" i="13"/>
  <c r="B10" i="14"/>
  <c r="AA8" i="12"/>
  <c r="AC8" i="12" s="1"/>
  <c r="AA17" i="12"/>
  <c r="AC17" i="12" s="1"/>
  <c r="AA12" i="10"/>
  <c r="U19" i="10"/>
  <c r="U38" i="10"/>
  <c r="B48" i="3"/>
  <c r="J120" i="13"/>
  <c r="C48" i="3" s="1"/>
  <c r="K34" i="13" l="1"/>
  <c r="J38" i="13"/>
  <c r="J40" i="13" s="1"/>
  <c r="I42" i="13"/>
  <c r="I44" i="13"/>
  <c r="I124" i="13"/>
  <c r="C9" i="14"/>
  <c r="C41" i="3" s="1"/>
  <c r="B41" i="3"/>
  <c r="C10" i="14"/>
  <c r="C42" i="3" s="1"/>
  <c r="B42" i="3"/>
  <c r="AA19" i="10"/>
  <c r="AA38" i="10"/>
  <c r="U35" i="10"/>
  <c r="U7" i="12"/>
  <c r="L34" i="13" l="1"/>
  <c r="L38" i="13" s="1"/>
  <c r="L40" i="13" s="1"/>
  <c r="K38" i="13"/>
  <c r="K40" i="13" s="1"/>
  <c r="J42" i="13"/>
  <c r="J44" i="13"/>
  <c r="J124" i="13"/>
  <c r="AA35" i="10"/>
  <c r="AA7" i="12"/>
  <c r="AC7" i="12" s="1"/>
  <c r="L42" i="13" l="1"/>
  <c r="B47" i="13" s="1"/>
  <c r="L44" i="13"/>
  <c r="B48" i="13"/>
  <c r="B49" i="13"/>
  <c r="L124" i="13"/>
  <c r="I100" i="13"/>
  <c r="K42" i="13"/>
  <c r="K44" i="13"/>
  <c r="K124" i="13"/>
  <c r="I102" i="13"/>
  <c r="H92" i="13"/>
  <c r="I101" i="13"/>
  <c r="H95" i="13"/>
  <c r="H93" i="13"/>
  <c r="I99" i="13"/>
  <c r="H91" i="13"/>
  <c r="H90" i="13"/>
  <c r="H94" i="13"/>
  <c r="I104" i="13"/>
  <c r="I103" i="13"/>
  <c r="B58" i="13" l="1"/>
  <c r="B51" i="13"/>
  <c r="B52" i="13" s="1"/>
  <c r="B57" i="13"/>
  <c r="H100" i="13"/>
  <c r="S150" i="1" s="1"/>
  <c r="G100" i="13"/>
  <c r="Q150" i="1" s="1"/>
  <c r="F100" i="13"/>
  <c r="O150" i="1" s="1"/>
  <c r="E100" i="13"/>
  <c r="M150" i="1" s="1"/>
  <c r="D100" i="13"/>
  <c r="L150" i="1" s="1"/>
  <c r="C100" i="13"/>
  <c r="C102" i="13"/>
  <c r="D102" i="13"/>
  <c r="L152" i="1" s="1"/>
  <c r="E102" i="13"/>
  <c r="M152" i="1" s="1"/>
  <c r="F102" i="13"/>
  <c r="O152" i="1" s="1"/>
  <c r="G102" i="13"/>
  <c r="Q152" i="1" s="1"/>
  <c r="H102" i="13"/>
  <c r="S152" i="1" s="1"/>
  <c r="C92" i="13"/>
  <c r="L142" i="1" s="1"/>
  <c r="D92" i="13"/>
  <c r="M142" i="1" s="1"/>
  <c r="E92" i="13"/>
  <c r="O142" i="1" s="1"/>
  <c r="F92" i="13"/>
  <c r="Q142" i="1" s="1"/>
  <c r="G92" i="13"/>
  <c r="S142" i="1" s="1"/>
  <c r="C101" i="13"/>
  <c r="D101" i="13"/>
  <c r="L151" i="1" s="1"/>
  <c r="E101" i="13"/>
  <c r="M151" i="1" s="1"/>
  <c r="F101" i="13"/>
  <c r="O151" i="1" s="1"/>
  <c r="G101" i="13"/>
  <c r="Q151" i="1" s="1"/>
  <c r="H101" i="13"/>
  <c r="S151" i="1" s="1"/>
  <c r="C95" i="13"/>
  <c r="L145" i="1" s="1"/>
  <c r="D95" i="13"/>
  <c r="M145" i="1" s="1"/>
  <c r="E95" i="13"/>
  <c r="O145" i="1" s="1"/>
  <c r="F95" i="13"/>
  <c r="Q145" i="1" s="1"/>
  <c r="G95" i="13"/>
  <c r="S145" i="1" s="1"/>
  <c r="C93" i="13"/>
  <c r="L143" i="1" s="1"/>
  <c r="D93" i="13"/>
  <c r="M143" i="1" s="1"/>
  <c r="E93" i="13"/>
  <c r="O143" i="1" s="1"/>
  <c r="F93" i="13"/>
  <c r="Q143" i="1" s="1"/>
  <c r="G93" i="13"/>
  <c r="S143" i="1" s="1"/>
  <c r="C99" i="13"/>
  <c r="D99" i="13"/>
  <c r="L149" i="1" s="1"/>
  <c r="E99" i="13"/>
  <c r="M149" i="1" s="1"/>
  <c r="F99" i="13"/>
  <c r="O149" i="1" s="1"/>
  <c r="G99" i="13"/>
  <c r="Q149" i="1" s="1"/>
  <c r="H99" i="13"/>
  <c r="S149" i="1" s="1"/>
  <c r="C91" i="13"/>
  <c r="L141" i="1" s="1"/>
  <c r="D91" i="13"/>
  <c r="M141" i="1" s="1"/>
  <c r="E91" i="13"/>
  <c r="O141" i="1" s="1"/>
  <c r="F91" i="13"/>
  <c r="Q141" i="1" s="1"/>
  <c r="G91" i="13"/>
  <c r="S141" i="1" s="1"/>
  <c r="C90" i="13"/>
  <c r="L140" i="1" s="1"/>
  <c r="D90" i="13"/>
  <c r="M140" i="1" s="1"/>
  <c r="E90" i="13"/>
  <c r="O140" i="1" s="1"/>
  <c r="F90" i="13"/>
  <c r="Q140" i="1" s="1"/>
  <c r="G90" i="13"/>
  <c r="S140" i="1" s="1"/>
  <c r="C94" i="13"/>
  <c r="L144" i="1" s="1"/>
  <c r="D94" i="13"/>
  <c r="M144" i="1" s="1"/>
  <c r="E94" i="13"/>
  <c r="O144" i="1" s="1"/>
  <c r="F94" i="13"/>
  <c r="Q144" i="1" s="1"/>
  <c r="G94" i="13"/>
  <c r="S144" i="1" s="1"/>
  <c r="C104" i="13"/>
  <c r="D104" i="13"/>
  <c r="L154" i="1" s="1"/>
  <c r="E104" i="13"/>
  <c r="M154" i="1" s="1"/>
  <c r="F104" i="13"/>
  <c r="O154" i="1" s="1"/>
  <c r="G104" i="13"/>
  <c r="Q154" i="1" s="1"/>
  <c r="H104" i="13"/>
  <c r="S154" i="1" s="1"/>
  <c r="C103" i="13"/>
  <c r="D103" i="13"/>
  <c r="L153" i="1" s="1"/>
  <c r="E103" i="13"/>
  <c r="M153" i="1" s="1"/>
  <c r="F103" i="13"/>
  <c r="O153" i="1" s="1"/>
  <c r="G103" i="13"/>
  <c r="Q153" i="1" s="1"/>
  <c r="H103" i="13"/>
  <c r="S153" i="1" s="1"/>
  <c r="I121" i="13"/>
  <c r="B72" i="13" l="1"/>
  <c r="B11" i="14" s="1"/>
  <c r="B59" i="13"/>
  <c r="B49" i="3"/>
  <c r="J121" i="13"/>
  <c r="C49" i="3" s="1"/>
  <c r="A113" i="13"/>
  <c r="B53" i="13"/>
  <c r="B62" i="13"/>
  <c r="B69" i="13" s="1"/>
  <c r="B71" i="13" s="1"/>
  <c r="C11" i="14" l="1"/>
  <c r="C43" i="3" s="1"/>
  <c r="B43" i="3"/>
  <c r="F8" i="14"/>
  <c r="B108" i="13"/>
  <c r="A112" i="13"/>
  <c r="B74" i="13"/>
  <c r="B76" i="13"/>
  <c r="A111" i="13"/>
  <c r="B8" i="14"/>
  <c r="D260" i="1"/>
  <c r="D261" i="1"/>
  <c r="C8" i="14" l="1"/>
  <c r="C40" i="3" s="1"/>
  <c r="B27" i="14"/>
  <c r="C27" i="14"/>
  <c r="B36" i="14"/>
  <c r="B49" i="14"/>
  <c r="F49" i="14" s="1"/>
  <c r="B40" i="3"/>
  <c r="K260" i="1" l="1"/>
  <c r="K261" i="1"/>
  <c r="L260" i="1"/>
  <c r="L261" i="1"/>
  <c r="K262" i="1"/>
  <c r="B42" i="14"/>
  <c r="D36" i="14"/>
  <c r="A116" i="13" l="1"/>
  <c r="B46" i="3"/>
  <c r="E261" i="1"/>
  <c r="E260" i="1"/>
  <c r="E9" i="1"/>
  <c r="B55" i="14"/>
  <c r="B15" i="2" s="1"/>
  <c r="B51" i="14"/>
  <c r="B50" i="14"/>
  <c r="B47" i="14"/>
  <c r="B48" i="14"/>
  <c r="B46" i="14"/>
  <c r="B43" i="14"/>
  <c r="B47" i="3" s="1"/>
  <c r="A3" i="1"/>
</calcChain>
</file>

<file path=xl/sharedStrings.xml><?xml version="1.0" encoding="utf-8"?>
<sst xmlns="http://schemas.openxmlformats.org/spreadsheetml/2006/main" count="4305" uniqueCount="2324">
  <si>
    <t>NVIDIA (NVDA)  ·  DRIVER-LED THREE-STATEMENT MODEL  ·  GRAPHS</t>
  </si>
  <si>
    <t>Valuation date 2026-10-08  ·  USD millions unless noted  ·  Every value on this page is a live link into the model tabs</t>
  </si>
  <si>
    <t>SHARE PRICE (2026-10-08)</t>
  </si>
  <si>
    <t>TARGET PRICE (20x FY28E EPS)</t>
  </si>
  <si>
    <t>IMPLIED UPSIDE</t>
  </si>
  <si>
    <t>FY2028E REVENUE</t>
  </si>
  <si>
    <t>WACC (DCF, REFERENCE)</t>
  </si>
  <si>
    <t>EXHIBIT 1</t>
  </si>
  <si>
    <t>Industry chain — a concentrated supply base feeding a hyperscale-led demand pool</t>
  </si>
  <si>
    <t>Position in the AI compute value chain; demand mix from the model’s customer cross-cut (Segment §G), FY2028E</t>
  </si>
  <si>
    <t>UPSTREAM — SUPPLY BASE</t>
  </si>
  <si>
    <t>NVIDIA</t>
  </si>
  <si>
    <t>DOWNSTREAM — DEMAND POOL</t>
  </si>
  <si>
    <t>TSMC — foundry · CoWoS advanced packaging
SK hynix · Samsung · Micron — HBM memory
ASE · SPIL — assembly &amp; test
Substrates · optics · power — rack-scale enablers</t>
  </si>
  <si>
    <t>GPU + networking silicon
systems · CUDA
Data Center ≈ 90% of FY2026A revenue
networking attach 24% → 25.5% → 27% (FY27E→FY29E)</t>
  </si>
  <si>
    <t>Hyperscalers ≈ 49% of FY2028E Data Center revenue ($337B)
AI clouds, industrial &amp; enterprise ≈ 46% ($319B)
Sovereign AI · edge · robotics</t>
  </si>
  <si>
    <t>Source: Segment §G (customer-type cross-cut, live), Segment §A/§B engine split, Assumptions networking attach path; supplier mapping from company disclosures (TSMC, HBM vendors, OSAT).</t>
  </si>
  <si>
    <t>EXHIBIT 2</t>
  </si>
  <si>
    <t>EXHIBIT 3</t>
  </si>
  <si>
    <t>Revenue build — Data Center to $691B by FY2028E (+70%)</t>
  </si>
  <si>
    <t>Submarket split &amp; share change — networking 15% → 20% of revenue</t>
  </si>
  <si>
    <t>Stacked annual revenue, USD billions (left); total revenue YoY (right)</t>
  </si>
  <si>
    <t>Engine view, % of total revenue; inner ring FY2026A (actual) · outer ring FY2029E (forecast)</t>
  </si>
  <si>
    <t>1. FY2025A–FY2026A reported, FY2027E–FY2029E model estimates; the two vintages mix within series and are footnoted here. Five-platform view FY2026A: Data Center 193.7 / Gaming 16.0 / ProViz 3.2 / Automotive 2.3 / OEM 0.6 ($B); the forecast vintage runs at engine granularity.</t>
  </si>
  <si>
    <t>Source: Segment tab §A/§B/§B-split (rows 8–10, 44–45), live links; engine split maps to the reportable Compute &amp; Networking segment (Segment §C).</t>
  </si>
  <si>
    <t>EXHIBIT 4</t>
  </si>
  <si>
    <t>EXHIBIT 5</t>
  </si>
  <si>
    <t>The DC engine — networking compounds +82% in FY2028E</t>
  </si>
  <si>
    <t>Margin waterfall — 72.6% gross to 54.6% net</t>
  </si>
  <si>
    <t>Stacked compute + networking, USD billions; segment values labeled on bars</t>
  </si>
  <si>
    <t>% of FY2028E revenue; C&amp;N op margin 69%, Graphics 41%</t>
  </si>
  <si>
    <t>2. Margin detail from IS rows 7–22 and Segment §D, live links.</t>
  </si>
  <si>
    <t>EXHIBIT 6</t>
  </si>
  <si>
    <t>Where the profit comes from — FY2026A flow into $120B net income</t>
  </si>
  <si>
    <t>Revenue sources to net income, USD billions; not a native Excel chart type — embedded diagram</t>
  </si>
  <si>
    <t>3. Flow widths proportional to FY2026A values (IS col X and Segment rows 21–25, col X). GAAP figures; acquisition-termination costs are zero in FY2026A.</t>
  </si>
  <si>
    <t>Source: IS rows 7–22 (FY2026A column), Segment §A1 rows 21–25; diagram generated from those live values.</t>
  </si>
  <si>
    <t>EXHIBIT 7</t>
  </si>
  <si>
    <t>EXHIBIT 8</t>
  </si>
  <si>
    <t>P&amp;L trajectory — EPS grows 7.6x, $2.94 → $22.24 by FY2029E</t>
  </si>
  <si>
    <t>FCF bridge — $378B net income becomes $327B FCF</t>
  </si>
  <si>
    <t>Revenue / gross / operating / net income, USD billions (left); diluted EPS (right); lighter shades = forecast years</t>
  </si>
  <si>
    <t>FY2028E waterfall, USD billions; navy = level, blue = add-back, grey = deduction</t>
  </si>
  <si>
    <t>4. FCF conversion annotated in-chart (ellipse): FY2028E FCF ≈ 87% of net income.</t>
  </si>
  <si>
    <t>EXHIBIT 9</t>
  </si>
  <si>
    <t>EXHIBIT 10</t>
  </si>
  <si>
    <t>FCF allocation — buybacks take the majority of FCF</t>
  </si>
  <si>
    <t>Sensitivity — $304 at 12.9% × 3.0%; $287–391 range</t>
  </si>
  <si>
    <t>Annual use of FCF, USD billions; brackets: growth of FCF and of shareholder return, FY2025A → FY2029E</t>
  </si>
  <si>
    <t>Live mirrors of DCF §F; colour fades outward from the base cell</t>
  </si>
  <si>
    <t>Gordon per-share ($) — WACC × terminal g</t>
  </si>
  <si>
    <t>WACC \ g</t>
  </si>
  <si>
    <t>Exit-multiple per-share ($) — WACC × EV/EBITDA (P10)</t>
  </si>
  <si>
    <t>WACC \ x</t>
  </si>
  <si>
    <t>6. Grid base uses the rounded 13.0% WACC row / 3.0% g column of DCF §F; the model’s chosen WACC is 12.90%. The exit-multiple grid shows the central 10x–18x span.</t>
  </si>
  <si>
    <t>5. Buyback path is the model’s declared 50%-of-FCF convention; FY2029E cumulative ≈$413B exceeds the $235B authorization disclosed at Q2FY27, so the path assumes rolling re-authorization.</t>
  </si>
  <si>
    <t>Source: CF tab rows 16–17, 20–22, live links; retained = FCF − buybacks − dividends − withholding.</t>
  </si>
  <si>
    <t>Ownership — long-only complexes anchor the register</t>
  </si>
  <si>
    <t>Top-10 holders ≈ 36% of shares out; % of common shares outstanding, latest filings</t>
  </si>
  <si>
    <t>Long-only institutions (top-10) — 32.4% of shares out</t>
  </si>
  <si>
    <t>CEO — 3.6%</t>
  </si>
  <si>
    <t>Other &amp; retail — 64.1%</t>
  </si>
  <si>
    <t>7. Holder rows as printed by the source (Vanguard appears in two managed-entity rows); "All other holders" = 100% − top-5 — other institutions, retail and insiders.</t>
  </si>
  <si>
    <t>Source: S&amp;P Global / Capital IQ ownership detail, latest filings.</t>
  </si>
  <si>
    <t>EXHIBIT 12</t>
  </si>
  <si>
    <t>Football field — $315 target inside the street IQR; DCF $203–419</t>
  </si>
  <si>
    <t>Low–high span by method family, USD per share; vertical lines: model target, current price, DCF Gordon base, street TP mean</t>
  </si>
  <si>
    <t>8. DCF is reference only; the target price is P/E-based (Valuation §F). Street TP median $315 coincides with the model target $315. The comps P/E band’s width is the dispersion caveat itself — peers’ FY1 denominators are trough/early-ramp.</t>
  </si>
  <si>
    <t>Source: Valuation tab Sections A/B/F (rows 8–31, 64–68) and DCF!B71, live links; grey = street-derived families (not ours), navy/blue = model outputs.</t>
  </si>
  <si>
    <t>Source: live links into Segment, IS, CF, DCF, Valuation and Raw_Data tabs of this workbook; ownership from S&amp;P Global / Capital IQ; price basis 2026-10-08 close.</t>
  </si>
  <si>
    <t>Page 1</t>
  </si>
  <si>
    <t>CHART DATA — LIVE LINKS INTO THE MODEL TABS  ·  sources for the exhibits</t>
  </si>
  <si>
    <t>Reported (FY2025A–FY2026A) and estimated (FY2027E–FY2029E) values appear in the same series below; the mix is footnoted on each exhibit.</t>
  </si>
  <si>
    <t>1 — REVENUE BUILD &amp; ENGINE (Exhibits 2, 4)</t>
  </si>
  <si>
    <t>Fiscal year</t>
  </si>
  <si>
    <t>Data Center</t>
  </si>
  <si>
    <t>Edge Computing</t>
  </si>
  <si>
    <t>Total revenue</t>
  </si>
  <si>
    <t>Total revenue YoY %</t>
  </si>
  <si>
    <t>DC — Compute</t>
  </si>
  <si>
    <t>DC — Networking</t>
  </si>
  <si>
    <t>Compute YoY %</t>
  </si>
  <si>
    <t>Networking YoY %</t>
  </si>
  <si>
    <t>2 — FCF BRIDGE, FY2028E (Exhibit 8)</t>
  </si>
  <si>
    <t>Step</t>
  </si>
  <si>
    <t>Net income</t>
  </si>
  <si>
    <t>D&amp;A</t>
  </si>
  <si>
    <t>SBC</t>
  </si>
  <si>
    <t>WC &amp; other</t>
  </si>
  <si>
    <t>CFO</t>
  </si>
  <si>
    <t>Capex</t>
  </si>
  <si>
    <t>FCF</t>
  </si>
  <si>
    <t>Value</t>
  </si>
  <si>
    <t>Base (offset)</t>
  </si>
  <si>
    <t>Level</t>
  </si>
  <si>
    <t>Increase</t>
  </si>
  <si>
    <t>Decrease</t>
  </si>
  <si>
    <t>3 — FCF ALLOCATION &amp; GROWTH (Exhibit 9)</t>
  </si>
  <si>
    <t>Buybacks</t>
  </si>
  <si>
    <t>Dividends</t>
  </si>
  <si>
    <t>SBC tax withholding</t>
  </si>
  <si>
    <t>Retained (cash &amp; other)</t>
  </si>
  <si>
    <t>FCF (CFO + capex)</t>
  </si>
  <si>
    <t>Shareholder return (buybacks + dividends)</t>
  </si>
  <si>
    <t>(CAGR arrow helpers)</t>
  </si>
  <si>
    <t>x — start to end</t>
  </si>
  <si>
    <t>FCF y (start → end)</t>
  </si>
  <si>
    <t>SR y (start → end)</t>
  </si>
  <si>
    <t>4 — MARGIN WATERFALL, FY2028E (Exhibit 5)</t>
  </si>
  <si>
    <t>Gross margin</t>
  </si>
  <si>
    <t>R&amp;D</t>
  </si>
  <si>
    <t>SG&amp;A</t>
  </si>
  <si>
    <t>Operating margin</t>
  </si>
  <si>
    <t>Other income</t>
  </si>
  <si>
    <t>Tax</t>
  </si>
  <si>
    <t>Net margin</t>
  </si>
  <si>
    <t>5 — VALUATION FOOTBALL FIELD (Exhibit 12)</t>
  </si>
  <si>
    <t>Method</t>
  </si>
  <si>
    <t>Low</t>
  </si>
  <si>
    <t>Span</t>
  </si>
  <si>
    <t>6 — SUBMARKET SPLIT, ENGINE VIEW (Exhibit 3)</t>
  </si>
  <si>
    <t>Engine</t>
  </si>
  <si>
    <t>FY2026A (inner ring)</t>
  </si>
  <si>
    <t>FY2029E (outer ring)</t>
  </si>
  <si>
    <t>7 — OWNERSHIP, TOP HOLDERS (Exhibit 11)</t>
  </si>
  <si>
    <t>Holder</t>
  </si>
  <si>
    <t>% OS</t>
  </si>
  <si>
    <t>BlackRock Inc.</t>
  </si>
  <si>
    <t>Vanguard Capital Management</t>
  </si>
  <si>
    <t>State Street Investment Management</t>
  </si>
  <si>
    <t>FMR LLC</t>
  </si>
  <si>
    <t>Jen-Hsun Huang (co-founder, CEO)</t>
  </si>
  <si>
    <t>All other holders</t>
  </si>
  <si>
    <t>Source: S&amp;P Global / Capital IQ ownership detail (2026-10-13), latest filings; holder rows as printed (Vanguard appears in two managed-entity rows).</t>
  </si>
  <si>
    <t>8 — MULTI-YEAR P&amp;L &amp; EPS (Exhibit 7)</t>
  </si>
  <si>
    <t>Revenue</t>
  </si>
  <si>
    <t>Gross profit</t>
  </si>
  <si>
    <t>Operating income</t>
  </si>
  <si>
    <t>Diluted EPS ($)</t>
  </si>
  <si>
    <t>NVDA</t>
  </si>
  <si>
    <t>NVIDIA CORP</t>
  </si>
  <si>
    <t>Nasdaq: NVDA — common shares (not an ADR)</t>
  </si>
  <si>
    <t>GEO: United States</t>
  </si>
  <si>
    <t>SECTOR: Semiconductors</t>
  </si>
  <si>
    <t>USD in millions unless noted · FYE late January (52/53-week; FY2026 ended 2026-01-25) · as-of 2026-10-08</t>
  </si>
  <si>
    <t>Exchange / ticker:</t>
  </si>
  <si>
    <t>Nasdaq: NVDA</t>
  </si>
  <si>
    <t>Company id (CIK / issuer):</t>
  </si>
  <si>
    <t>CIK 0001045810</t>
  </si>
  <si>
    <t>Fiscal year-end convention:</t>
  </si>
  <si>
    <t>Last Sunday of January; 52/53-week year (FY2027 is a 53-week year ending 2027-01-31)</t>
  </si>
  <si>
    <t>Period ends:</t>
  </si>
  <si>
    <t>Q2FY27A 2026-07-26 | FY2026A 2026-01-25 | FY2027E 2027-01-31</t>
  </si>
  <si>
    <t>Currency / units:</t>
  </si>
  <si>
    <t>USD millions</t>
  </si>
  <si>
    <t>Accounting basis:</t>
  </si>
  <si>
    <t>US GAAP</t>
  </si>
  <si>
    <t>Reporting / scope basis:</t>
  </si>
  <si>
    <t>Consolidated</t>
  </si>
  <si>
    <t>Model purpose / as-of:</t>
  </si>
  <si>
    <t>Driver-led three-statement model: 10 historical + 10 forecast quarters; annual columns are fiscal-year sums (FY2025A-FY2029E); as-of 2026-10-08</t>
  </si>
  <si>
    <t>Model check status:</t>
  </si>
  <si>
    <t>Live: Checks AC7:AC19 + supplemental B21:B25 + non-GAAP AC27:AC31 + DCF §G + Valuation §E</t>
  </si>
  <si>
    <t>TAB MAP</t>
  </si>
  <si>
    <t>Cover</t>
  </si>
  <si>
    <t>This page - identity, key drivers, financials summary, valuation, segment summary, tab map, legend, scope notes</t>
  </si>
  <si>
    <t>Summary</t>
  </si>
  <si>
    <t>KPI digest: key drivers (live from Assumptions), financials summary with vs-consensus deltas, valuation summary, segment summary — required consolidated-deliverable tab; all values are live links</t>
  </si>
  <si>
    <t>Guidance</t>
  </si>
  <si>
    <t>39-quarter guidance ledger digest: scoring tallies, last-12-quarter outcome grid, open Q3-FY27 guide with live model cross-reference</t>
  </si>
  <si>
    <t>Comps</t>
  </si>
  <si>
    <t>8-peer multiples table with live medians/means (NVDA target row excluded), implied-value block with dispersion caveat, coverage-gap notes</t>
  </si>
  <si>
    <t>Consensus</t>
  </si>
  <si>
    <t>Bank-level consensus map: 15 sell-side houses, live aggregates (full-set vs post-print), free-tier tape, key debates, own-model row, coverage gaps</t>
  </si>
  <si>
    <t>Assumptions</t>
  </si>
  <si>
    <t>Author forecast inputs (amber, quarterly; units in column B) with realized historical reference</t>
  </si>
  <si>
    <t>Segment</t>
  </si>
  <si>
    <t>Market-platform and reportable-segment detail with on-page driver rows</t>
  </si>
  <si>
    <t>IS</t>
  </si>
  <si>
    <t>Consolidated income statement: quarterly history linked from Raw_Data, quarterly forecast driver formulas</t>
  </si>
  <si>
    <t>BS</t>
  </si>
  <si>
    <t>Balance sheet + working-capital memo; cash is CF-derived, no plug</t>
  </si>
  <si>
    <t>CF</t>
  </si>
  <si>
    <t>Cash flow with forecast working-capital deltas and supplemental schedules</t>
  </si>
  <si>
    <t>Checks</t>
  </si>
  <si>
    <t>12 deterministic tie-outs plus informational calibration references and the supplemental checks (consensus / comps / guidance cross-checks)</t>
  </si>
  <si>
    <t>DCF</t>
  </si>
  <si>
    <t>FCFF intrinsic valuation: WACC build, explicit FY periods (FY2027E–FY2029E) + declared fade, scenarios, live sensitivity grids</t>
  </si>
  <si>
    <t>Valuation</t>
  </si>
  <si>
    <t>Football field summary: method x value, declared weights, concluded fair value, cross-checks</t>
  </si>
  <si>
    <t>Raw_Data</t>
  </si>
  <si>
    <t>Frozen quarterly source facts (constants only), per-fact source ids</t>
  </si>
  <si>
    <t>Data_Sources</t>
  </si>
  <si>
    <t>Tiered source registry with public-filing hashes</t>
  </si>
  <si>
    <t>LEGEND</t>
  </si>
  <si>
    <t>Blue text - cited from Raw_Data (source fact; the ONLY marked font color)</t>
  </si>
  <si>
    <t>Black text - calculated / content / inputs (incl. Assumptions author-input references)</t>
  </si>
  <si>
    <t>Grey text - notes / memo / computed ratios</t>
  </si>
  <si>
    <t>Amber fill - author forecast input cell (Assumptions)</t>
  </si>
  <si>
    <t>Light-blue fill - filings data cell (Raw_Data values, source ids, period-end dates)</t>
  </si>
  <si>
    <t>Navy band - Cover identity band (white reversed text)</t>
  </si>
  <si>
    <t>Blank = not disclosed / not applicable; quarterly columns B-K = Actual, L-U = Forecast; V = all-white spacer; W-AA = derived annual columns (fiscal-year sums)</t>
  </si>
  <si>
    <t>Sign convention: IS/CF expenses and outflows are negative (parenthesized display); BS balances positive; Raw_Data preserves reported signs</t>
  </si>
  <si>
    <t>SCOPE NOTES</t>
  </si>
  <si>
    <t>Source hierarchy: T1 filings / XBRL (all historical figures) - T2 company releases / management guidance - T3 consensus captures (URL + access timestamp + exact excerpt; calibration reference only) - T4 author assumptions (the amber inputs on Assumptions).</t>
  </si>
  <si>
    <t>Key drivers: FY28 total revenue anchored to the +70% management guide and FY29 growth (Assumptions r74-r76); Data Center split into DC-Compute (ASP from the Blackwell → Rubin mix, units implied) and DC-Networking (attach ratio); Edge Computing YoY; GM quarterly bps walk; R&amp;D / SG&amp;A $ inputs (drive IS operating income); Graphics margin, SBC and unallocated (segment allocation; C&amp;N OI is the residual); working-capital days (DSO 60, DIO 120/115); capex % of revenue; D&amp;A rate; capital returns = 50% of FCF − dividends; committed equity investments and the Hugging Face acquisition; debt schedule.</t>
  </si>
  <si>
    <t>Accounting: BS cash is CF-derived - no BS plug anywhere; interest income/expense accrue on opening (prior-quarter) balances (no circular references); interest income excludes non-interest-bearing marketable equity from the yield base; intangibles floored at zero via MIN/MAX; ROU assets, goodwill, DTA, lease liabilities and AOCI held flat unless a schedule is documented; IS operating income = GP − opex (driver-led); segment C&amp;N OI is the residual (Checks r13 identity, r19 margin band).</t>
  </si>
  <si>
    <t>Per-share data is presented as originally reported each quarter; annual EPS = annual NI / annual WASO, never the sum of quarterly EPS; note stock-split normalization in Segment section F.</t>
  </si>
  <si>
    <t>Blank means never disclosed (not zero); disclosed rounding quirks in source filings are preserved, not 'fixed'. Web-sourced consensus/guidance is indicative only (T3); forecasts are bottom-up from drivers, not guidance-matching.</t>
  </si>
  <si>
    <t>For each FINANCIALS SUMMARY row with a Consensus Mean, the vs-consensus delta line shows own / Mean − 1 (%; $ for EPS).</t>
  </si>
  <si>
    <t>No images or logos on the Cover, ever. Subsector: accelerated computing / GPUs &amp; AI infrastructure.</t>
  </si>
  <si>
    <t>Summary — key drivers, financials vs consensus, valuation &amp; segment digest</t>
  </si>
  <si>
    <t>NVIDIA CORP (NVDA) — CIK 0001045810 | US GAAP | USD millions unless noted | FYE late January (52/53-week; FY2026 ended 2026-01-25) | as-of 2026-10-08 · generated 2026-10-09</t>
  </si>
  <si>
    <t>Every value on this tab is a LIVE link into this workbook — no typed copies of computable cells · black = calculated / live link / inputs (Assumptions author-input references included) · blue = cited from Raw_Data (only marked color; this tab needs none — all links are live into model tabs) · grey = notes · vs-consensus delta = own ÷ street Mean − 1 (%; $ for EPS), cited live from the Consensus tab</t>
  </si>
  <si>
    <t>KEY DRIVERS — the model’s driver path (live from Assumptions; quarterly forecast grid)</t>
  </si>
  <si>
    <t>Period end</t>
  </si>
  <si>
    <t>Fiscal period</t>
  </si>
  <si>
    <t>DC Compute revenue growth (QoQ %)</t>
  </si>
  <si>
    <t>Topline driver #1 — DC-Compute QoQ. FY28 is anchored to the +70% management guide (Assumptions r74-r76); ASP from the Rubin mix (r77-r80), units implied (r15).</t>
  </si>
  <si>
    <t>DC Networking revenue growth (QoQ %)</t>
  </si>
  <si>
    <t>Topline driver #2 — DC-Networking QoQ = compute × attach ratio (Assumptions r18, 24% → 27%).</t>
  </si>
  <si>
    <t>Edge Computing revenue growth (QoQ %)</t>
  </si>
  <si>
    <t>Topline driver #3 — mid-single-digit sequential climb off Q2FY27A 7,198 (Assumptions AD9)</t>
  </si>
  <si>
    <t>Gross margin % (quarterly walk)</t>
  </si>
  <si>
    <t>74.0 Q3 guide → 71.5 Q4FY27 trough → 72.0–72.9 FY28 → 72.9 FY29 hold (GS 72.9 / MS 72.7)</t>
  </si>
  <si>
    <t>R&amp;D expense ($M / quarter)</t>
  </si>
  <si>
    <t>$ step-ups +9.6%→+4.4%/q; with SG&amp;A = the 9,200 GAAP-opex Q3 guide (cited; Assumptions AD21)</t>
  </si>
  <si>
    <t>SG&amp;A expense ($M / quarter)</t>
  </si>
  <si>
    <t>~5.2:1 realized R&amp;D:SG&amp;A split (Assumptions AD22)</t>
  </si>
  <si>
    <t>Tax rate %</t>
  </si>
  <si>
    <t>Q3FY27 18% (non-GAAP tax guide, GS 9285790); 17% thereafter (FY27 guide 16–18%)</t>
  </si>
  <si>
    <t>Capex % of revenue</t>
  </si>
  <si>
    <t>Realized ~2.4% + author lift to 3.0% (Assumptions AD37)</t>
  </si>
  <si>
    <t>Diluted WASO (M; −100/q roll)</t>
  </si>
  <si>
    <t>Diluted WASO = prior − buybacks ÷ repurchase price; buybacks = 50% × FCF − dividends (Assumptions r58 / r81), price grows at Ke (r43)</t>
  </si>
  <si>
    <t>FINANCIALS SUMMARY (USD millions) — FY columns, with vs-consensus deltas</t>
  </si>
  <si>
    <t>FY2027E</t>
  </si>
  <si>
    <t>FY2028E</t>
  </si>
  <si>
    <t>FY2029E</t>
  </si>
  <si>
    <t>Compute &amp; Networking</t>
  </si>
  <si>
    <t>Graphics revenue</t>
  </si>
  <si>
    <t>YoY</t>
  </si>
  <si>
    <t xml:space="preserve">   Vs consensus</t>
  </si>
  <si>
    <t>Street revenue Mean — live from the Consensus tab Delta row</t>
  </si>
  <si>
    <t>Gross margin %</t>
  </si>
  <si>
    <t>Street non-GAAP GM Mean (GAAP = non-GAAP GM this vintage) — Consensus MARGINS cluster</t>
  </si>
  <si>
    <t>Operating margin %</t>
  </si>
  <si>
    <t>n.a.</t>
  </si>
  <si>
    <t>No street OPM aggregate (never a blank where a Mean exists — no Mean exists for this line)</t>
  </si>
  <si>
    <t>EPS — diluted ($)</t>
  </si>
  <si>
    <t>Adjusted OP</t>
  </si>
  <si>
    <t>Adjusted Net Income</t>
  </si>
  <si>
    <t>Street non-GAAP EPS Mean; own delta basis = street-basis bridge (FY27 = IS!Y49) — GAAP FY27 EPS incl. H1 realized gains sits on IS r33</t>
  </si>
  <si>
    <t>Adjusted EPS</t>
  </si>
  <si>
    <t>VALUATION SUMMARY (USD per share; live from the Valuation tab)</t>
  </si>
  <si>
    <t>Value (USD/sh)</t>
  </si>
  <si>
    <t>Vs price</t>
  </si>
  <si>
    <t>Basis</t>
  </si>
  <si>
    <t>DCF — Gordon growth (base) — reference only</t>
  </si>
  <si>
    <t>DCF — Gordon (bull) — reference only</t>
  </si>
  <si>
    <t>DCF — Gordon (bear) — reference only</t>
  </si>
  <si>
    <t>DCF — exit-multiple cross-check — reference only</t>
  </si>
  <si>
    <t>Street TP — mean (n=15)</t>
  </si>
  <si>
    <t>Street TP — median</t>
  </si>
  <si>
    <t>15-house sell-side research set — median 315 (mean 316.47 · range 275–365), as-of 2026-10-08 · 15-house sell-side research set (2026-10-09) (+ supplemental sell-side research (2026-09-28)); cross-check: vcpscanner mean 338.96 (10-06, n=79)</t>
  </si>
  <si>
    <t>Target price per share (20x FY28E EPS, P/E-based)</t>
  </si>
  <si>
    <t>Valuation §F: street-median P/E (GS / MS / JPM implied ~20x) × model FY28E EPS, rounded to $5 — sits at the 15-house TP median; DCF lines above are references only</t>
  </si>
  <si>
    <t>Upside vs price (live — price basis Raw_Data!I171)</t>
  </si>
  <si>
    <t>Vs 230.48 cited as-of 2026-10-08 (Raw_Data!I171; Valuation!B23 links it)</t>
  </si>
  <si>
    <t>DCF stress — financed-demand disruption (S1)</t>
  </si>
  <si>
    <t>Half of the financed (frontier-lab) demand lost from FY29 + $70B tail loss</t>
  </si>
  <si>
    <t>Informational stress (DCF §H), not part of the concluded blend</t>
  </si>
  <si>
    <t>DCF stress — share erosion / margin fade (S2)</t>
  </si>
  <si>
    <t>FCFF margin fades to 44% by FY36</t>
  </si>
  <si>
    <t>Guidance — 39-quarter ledger: every guide scored against what landed (FY2018–FY2027)</t>
  </si>
  <si>
    <t>NVIDIA CORP (NVDA) — 39 quarterly outlooks Q1-FY18 → Q3-FY27 (38 closed + 1 open); ledger-sample layout, scoring conventions</t>
  </si>
  <si>
    <t>USD millions unless noted · blue = cite Raw_Data · black = formula · scored vs the INITIAL guide (single number ± stated tolerance); revisions tracked in rows 60–61 · outcome cells: Beat = green, Miss = red</t>
  </si>
  <si>
    <t>Period end (approx.)</t>
  </si>
  <si>
    <t>2017-04-30</t>
  </si>
  <si>
    <t>2017-07-31</t>
  </si>
  <si>
    <t>2017-10-31</t>
  </si>
  <si>
    <t>2018-01-31</t>
  </si>
  <si>
    <t>2018-04-30</t>
  </si>
  <si>
    <t>2018-07-31</t>
  </si>
  <si>
    <t>2018-10-31</t>
  </si>
  <si>
    <t>2019-01-31</t>
  </si>
  <si>
    <t>2019-04-30</t>
  </si>
  <si>
    <t>2019-07-31</t>
  </si>
  <si>
    <t>2019-10-31</t>
  </si>
  <si>
    <t>2020-01-31</t>
  </si>
  <si>
    <t>2020-04-30</t>
  </si>
  <si>
    <t>2020-07-31</t>
  </si>
  <si>
    <t>2020-10-31</t>
  </si>
  <si>
    <t>2021-01-31</t>
  </si>
  <si>
    <t>2021-04-30</t>
  </si>
  <si>
    <t>2021-07-31</t>
  </si>
  <si>
    <t>2021-10-31</t>
  </si>
  <si>
    <t>2022-01-31</t>
  </si>
  <si>
    <t>2022-04-30</t>
  </si>
  <si>
    <t>2022-07-31</t>
  </si>
  <si>
    <t>2022-10-31</t>
  </si>
  <si>
    <t>2023-01-31</t>
  </si>
  <si>
    <t>2023-04-30</t>
  </si>
  <si>
    <t>2023-07-31</t>
  </si>
  <si>
    <t>2023-10-31</t>
  </si>
  <si>
    <t>2024-01-31</t>
  </si>
  <si>
    <t>2024-04-30</t>
  </si>
  <si>
    <t>2024-07-31</t>
  </si>
  <si>
    <t>2024-10-31</t>
  </si>
  <si>
    <t>2025-01-31</t>
  </si>
  <si>
    <t>2025-04-30</t>
  </si>
  <si>
    <t>2025-07-31</t>
  </si>
  <si>
    <t>2025-10-31</t>
  </si>
  <si>
    <t>2026-01-31</t>
  </si>
  <si>
    <t>2026-04-30</t>
  </si>
  <si>
    <t>2026-07-31</t>
  </si>
  <si>
    <t>2026-10-31</t>
  </si>
  <si>
    <t>KPI</t>
  </si>
  <si>
    <t>Q1-FY18</t>
  </si>
  <si>
    <t>Q2-FY18</t>
  </si>
  <si>
    <t>Q3-FY18</t>
  </si>
  <si>
    <t>Q4-FY18</t>
  </si>
  <si>
    <t>Q1-FY19</t>
  </si>
  <si>
    <t>Q2-FY19</t>
  </si>
  <si>
    <t>Q3-FY19</t>
  </si>
  <si>
    <t>Q4-FY19</t>
  </si>
  <si>
    <t>Q1-FY20</t>
  </si>
  <si>
    <t>Q2-FY20</t>
  </si>
  <si>
    <t>Q3-FY20</t>
  </si>
  <si>
    <t>Q4-FY20</t>
  </si>
  <si>
    <t>Q1-FY21</t>
  </si>
  <si>
    <t>Q2-FY21</t>
  </si>
  <si>
    <t>Q3-FY21</t>
  </si>
  <si>
    <t>Q4-FY21</t>
  </si>
  <si>
    <t>Q1-FY22</t>
  </si>
  <si>
    <t>Q2-FY22</t>
  </si>
  <si>
    <t>Q3-FY22</t>
  </si>
  <si>
    <t>Q4-FY22</t>
  </si>
  <si>
    <t>Q1-FY23</t>
  </si>
  <si>
    <t>Q2-FY23</t>
  </si>
  <si>
    <t>Q3-FY23</t>
  </si>
  <si>
    <t>Q4-FY23</t>
  </si>
  <si>
    <t>Q1-FY24</t>
  </si>
  <si>
    <t>Q2-FY24</t>
  </si>
  <si>
    <t>Q3-FY24</t>
  </si>
  <si>
    <t>Q4-FY24</t>
  </si>
  <si>
    <t>Q1-FY25</t>
  </si>
  <si>
    <t>Q2-FY25</t>
  </si>
  <si>
    <t>Q3-FY25</t>
  </si>
  <si>
    <t>Q4-FY25</t>
  </si>
  <si>
    <t>Q1-FY26</t>
  </si>
  <si>
    <t>Q2-FY26</t>
  </si>
  <si>
    <t>Q3-FY26</t>
  </si>
  <si>
    <t>Q4-FY26</t>
  </si>
  <si>
    <t>Q1-FY27</t>
  </si>
  <si>
    <t>Q2-FY27</t>
  </si>
  <si>
    <t>Q3-FY27</t>
  </si>
  <si>
    <t>Notes / source</t>
  </si>
  <si>
    <t>Classification</t>
  </si>
  <si>
    <t>Actual</t>
  </si>
  <si>
    <t>Open</t>
  </si>
  <si>
    <t>REVENUE</t>
  </si>
  <si>
    <t>Total revenue — guide mid</t>
  </si>
  <si>
    <t>Company states 'plus or minus 2 percent'</t>
  </si>
  <si>
    <t>Total revenue — guide mid, revision</t>
  </si>
  <si>
    <t>Q4-FY19 (2019-01-28, letter) and Q2-FY23 (2022-08-08, prelim); Δ and outcome score against the revised guide where present</t>
  </si>
  <si>
    <t xml:space="preserve">   Actual</t>
  </si>
  <si>
    <t>Cited actuals (see Raw_Data)</t>
  </si>
  <si>
    <t xml:space="preserve">   Δ vs initial guide</t>
  </si>
  <si>
    <t>Levels: actual ÷ guide mid − 1 · margins: bps vs point · tax: pp vs point · scored vs the REVISED guide where one exists (Q4-FY19, Q2-FY23 — revision rows 200-204), else the initial guide</t>
  </si>
  <si>
    <t xml:space="preserve">   Outcome</t>
  </si>
  <si>
    <t>Guide format: revenue is a SINGLE number with a stated ±2% tolerance ("$X, plus or minus 2%") — not a low/high range; GM = point ±50bp; opex = "approximately". Landing inside the band = In-line (implemented via Raw_Data tolerance rows 205/209/222). Scored vs the INITIAL guide; the two revisions (Q4-FY19, Q2-FY23) in rows 60–61.</t>
  </si>
  <si>
    <t>MARGINS</t>
  </si>
  <si>
    <t>Non-GAAP gross margin — guide point (initial)</t>
  </si>
  <si>
    <t>Company states 'plus or minus 50 basis points'; revisions for Q4-FY19/Q2-FY23 held at Raw_Data row 200 (the ledger workbook shows them as a separate display row — folded into Δ/outcome here per the sample layout)</t>
  </si>
  <si>
    <t xml:space="preserve">   Δ vs initial guide (bps)</t>
  </si>
  <si>
    <t>Beat / Miss / In-line vs the (revised) guide's stated band; cost rows inverted; outcomes as computed text (no conditional formatting)</t>
  </si>
  <si>
    <t>GAAP gross margin — guide point (initial)</t>
  </si>
  <si>
    <t>Company states 'plus or minus 50 basis points'; revisions at Raw_Data row 201</t>
  </si>
  <si>
    <t>Computed in-sheet: gross profit ÷ revenue (XBRL inputs)</t>
  </si>
  <si>
    <t>COSTS</t>
  </si>
  <si>
    <t>Non-GAAP operating expenses — guide</t>
  </si>
  <si>
    <t>$mm · single-number guide ('approximately'); lower is better</t>
  </si>
  <si>
    <t xml:space="preserve">   Δ vs guide</t>
  </si>
  <si>
    <t>Levels: actual ÷ guide − 1 (no stated band; ±2% is the observed tolerance in the tallies below)</t>
  </si>
  <si>
    <t>Scoring convention: above guide = Miss, below = Beat, exactly on = In-line (cost row inverted); outcomes as computed text</t>
  </si>
  <si>
    <t>GAAP operating expenses — guide</t>
  </si>
  <si>
    <t>$mm · single-number guide ('approximately'); lower is better; Q2-FY23 revision at Raw_Data row 202</t>
  </si>
  <si>
    <t>Scoring convention: above the (revised) guide = Miss, below = Beat, exactly on = In-line; outcomes as computed text</t>
  </si>
  <si>
    <t>Capital expenditures — guide low</t>
  </si>
  <si>
    <t>Explicit bounds, guided FY18–FY20 only</t>
  </si>
  <si>
    <t>Capital expenditures — guide mid</t>
  </si>
  <si>
    <t>Capital expenditures — guide high</t>
  </si>
  <si>
    <t>Cited actuals (see Raw_Data); capex actuals from the ledger workbook (Q4 = FY − 9M constants)</t>
  </si>
  <si>
    <t>Levels: actual ÷ guide mid − 1</t>
  </si>
  <si>
    <t>Capex: below the low bound = Beat, above the high bound = Miss (cost row inverted); outcomes as computed text</t>
  </si>
  <si>
    <t>BELOW THE LINE</t>
  </si>
  <si>
    <t>Other income &amp; expense — guide</t>
  </si>
  <si>
    <t>$mm · single-number guide ('approximately'), non-GAAP basis · higher is better · not guided from FY2027 (AL–AN blank); revisions at Raw_Data row 203</t>
  </si>
  <si>
    <t>Company non-GAAP reconciliation tables (S004) — same carve-outs as the guide, so comparable</t>
  </si>
  <si>
    <t>$mm, actual − (revised) guide (sign-flipping line, so $ not %)</t>
  </si>
  <si>
    <t>Scoring convention: below guide = Miss, above = Beat, exactly on = In-line; outcomes as computed text</t>
  </si>
  <si>
    <t>Tax rate (GAAP) — guide point (pre-FY27) / FY-range (FY27–)</t>
  </si>
  <si>
    <t>Pre-FY27: single quarterly point ±1pp. From Q1-FY27 (OBBBA): FULL-YEAR range — initial 17–19%, narrowed to 16–18% at the Q2-FY27 print. Δ is vs the range MIDPOINT; outcome vs the bounds (inside = In-line).</t>
  </si>
  <si>
    <t>Computed in-sheet: GAAP tax expense ÷ pretax income (XBRL inputs)</t>
  </si>
  <si>
    <t>Beat / Miss / In-line vs the (revised) guide's stated band; FY27 full-year range → quarterly outcome N/M; outcomes as computed text</t>
  </si>
  <si>
    <t xml:space="preserve">   Guide FY-range bounds (low – high, cited; FY27–)</t>
  </si>
  <si>
    <t>KEY COMMENTARY</t>
  </si>
  <si>
    <t>Key commentary (trimmed; full text on Raw_Data)</t>
  </si>
  <si>
    <t>Transposed: quarters across columns, cited from Raw_Data S006 (15 concrete outlook lines from the ledger workbook)</t>
  </si>
  <si>
    <t>TALLIES — live COUNTIF over the outcome rows above (38 closed quarters; the open Q3-FY27 is unscored)</t>
  </si>
  <si>
    <t>Revenue — outcome count (closed quarters)</t>
  </si>
  <si>
    <t>Beat / In-line / Miss</t>
  </si>
  <si>
    <t>3 misses vs initial: Q3-FY19 &amp; Q4-FY19 (crypto correction; Q4 pre-announced 2019-01-28), Q2-FY23 (gaming; pre-announced 2022-08-08). 14-beat streak Q1-FY24 → Q2-FY27.</t>
  </si>
  <si>
    <t>Revenue — current consecutive Beat streak (from the latest closed quarter)</t>
  </si>
  <si>
    <t>Every quarter since Q1-FY24; longest streak in the ledger</t>
  </si>
  <si>
    <t>Non-GAAP gross margin — outcome count</t>
  </si>
  <si>
    <t>±50bp stated band (Q4-FY19 widened to ±100bp); misses: Q2-FY23 (−2,120bp, inventory charges), Q3-FY23 (−890bp), Q1-FY26 (H20 writedown, −1,000bp).</t>
  </si>
  <si>
    <t>GAAP gross margin — outcome count</t>
  </si>
  <si>
    <t>GAAP guide point vs GAAP actual (computed gross profit ÷ revenue in the ledger); same revision basis</t>
  </si>
  <si>
    <t>Non-GAAP opex — landed within ±2% of guide</t>
  </si>
  <si>
    <t>Single-number “approximately” guide, no stated band; ±2% is the observed tolerance</t>
  </si>
  <si>
    <t>Revision anatomy — Q4-FY19 (only cut #1)</t>
  </si>
  <si>
    <t>Landed</t>
  </si>
  <si>
    <t>Mid cut 2,700→2,200; actual 2,205 = +0.23% vs the revised number</t>
  </si>
  <si>
    <t>Revision anatomy — Q2-FY23 (only cut #2)</t>
  </si>
  <si>
    <t>GM non-GAAP guide cut (initial→prelim, bps)</t>
  </si>
  <si>
    <t>Landed vs prelim (bps)</t>
  </si>
  <si>
    <t>Mid cut 8,100→6,700; actual 6,704 = +0.06% vs the revised number · GM non-GAAP: guide cut 67.1%→46.1% (prelim); actual 45.9% = −20bp vs prelim, −2,120bp vs initial</t>
  </si>
  <si>
    <t>THE OPEN GUIDE — Q3-FY27 (ends ~2026-10-25; print Nov-2026)</t>
  </si>
  <si>
    <t>Line</t>
  </si>
  <si>
    <t>Mid</t>
  </si>
  <si>
    <t>High</t>
  </si>
  <si>
    <t>Basis / tolerance</t>
  </si>
  <si>
    <t>Revenue ($mm)</t>
  </si>
  <si>
    <t>±2% stated; assumes ZERO China Data Center compute revenue</t>
  </si>
  <si>
    <t>company guidance history (2026-10-09) — exact band (108,000 ± 2%)</t>
  </si>
  <si>
    <t>Gross margin — non-GAAP (GAAP identical this vintage)</t>
  </si>
  <si>
    <t>±50bp both bases; first vintage with GAAP = non-GAAP guide (SBC now inside non-GAAP)</t>
  </si>
  <si>
    <t>company guidance history (2026-10-09)</t>
  </si>
  <si>
    <t>Operating expenses — non-GAAP ($mm)</t>
  </si>
  <si>
    <t>Single-number “approximately”, no stated band; GAAP ≈ 9,200</t>
  </si>
  <si>
    <t>Tax rate — FY2027 full-year basis</t>
  </si>
  <si>
    <t>Regime change: full-year range from FY2027 (OBBBA); quarterly ±1pp was guided through FY2026</t>
  </si>
  <si>
    <t>Implied non-GAAP operating margin (at mid)</t>
  </si>
  <si>
    <t>Vs Q2-FY27A run-rate 66.5% — guided BELOW run-rate</t>
  </si>
  <si>
    <t>LIVE: (rev × mid-GM 74.0% − opex 9,000) ÷ rev, per low/mid/high revenue column</t>
  </si>
  <si>
    <t>Guided sequential $ add vs Q2-FY27A ($mm)</t>
  </si>
  <si>
    <t>Largest ever guided (prior record: Q1-FY27 +9,873)</t>
  </si>
  <si>
    <t>LIVE: guide mid 108,000 − Q2FY27A revenue (IS!K7)</t>
  </si>
  <si>
    <t>Guide mid YoY (live vs Q3-FY26A actual)</t>
  </si>
  <si>
    <t>Live off the ledger grid: 108,000 ÷ 57,006 − 1</t>
  </si>
  <si>
    <t>Trailing-8-quarter median beat vs mid</t>
  </si>
  <si>
    <t>Right cell = implied revenue if Q3 lands at the median beat</t>
  </si>
  <si>
    <t>Live over the last 8 closed Δ cells (AF12:AM12)</t>
  </si>
  <si>
    <t>THIS WORKBOOK vs THE OPEN GUIDE (live links)</t>
  </si>
  <si>
    <t>Model Q3FY27E revenue (IS!L7)</t>
  </si>
  <si>
    <t>Driver-led, Segment-built forecast — sits inside the guided band</t>
  </si>
  <si>
    <t>Model vs guide mid</t>
  </si>
  <si>
    <t>+1.5% above the 108,000 mid — inside the historical +4.8% median-beat envelope</t>
  </si>
  <si>
    <t>NOTES</t>
  </si>
  <si>
    <t>Scoring basis: vs the revised guide where a revision exists (Q4-FY19, Q2-FY23 — revision rows 200-204 in the zone), else the initial guide; cost rows inverted with exactly-on-guide = In-line; the open Q3-FY27 quarter is unscored — outcomes land after the print.</t>
  </si>
  <si>
    <t>Raw_Data rows 192-258 store the guidance-history constants (Q4 cells stored as FY − 9M constants; the five non-revenue revision rows included).</t>
  </si>
  <si>
    <t>Fiscal calendar: ledger and this workbook agree — FY2027 is a 53-week year ending 2027-01-31; Q4FY27 is a 14-week quarter.</t>
  </si>
  <si>
    <t>EPS guidance: n.a. — NVIDIA does not guide EPS; only the revenue / margin / opex / tax building blocks above.</t>
  </si>
  <si>
    <t>Checks mirrors: Checks!B25 (model Q3FY27E revenue inside the guide band) and Checks!B24 (revenue / non-GAAP GM / GAAP GM tallies foot to 38 closed) — guidance-ledger checks.</t>
  </si>
  <si>
    <t>NVIDIA (NVDA) — AI accelerator &amp; merchant-silicon comparables | valuation date 2026-10-08 | quotes 2026-10-08 close | USD</t>
  </si>
  <si>
    <t>Identity</t>
  </si>
  <si>
    <t>Market &amp; capital structure</t>
  </si>
  <si>
    <t>Earnings estimates (local)</t>
  </si>
  <si>
    <t>Valuation multiples</t>
  </si>
  <si>
    <t>Quality (latest FY actual)</t>
  </si>
  <si>
    <t>Growth</t>
  </si>
  <si>
    <t>Operating module</t>
  </si>
  <si>
    <t>Financials (latest FY)</t>
  </si>
  <si>
    <t>Leverage &amp; returns</t>
  </si>
  <si>
    <t>Company</t>
  </si>
  <si>
    <t>Ticker</t>
  </si>
  <si>
    <t>Venue</t>
  </si>
  <si>
    <t>Security</t>
  </si>
  <si>
    <t>Ccy</t>
  </si>
  <si>
    <t>FY end</t>
  </si>
  <si>
    <t>Latest rep.</t>
  </si>
  <si>
    <t>Business description</t>
  </si>
  <si>
    <t>Price (local)</t>
  </si>
  <si>
    <t>Mkt cap (local bn)</t>
  </si>
  <si>
    <t>Mkt cap (USD bn)</t>
  </si>
  <si>
    <t>Net debt (local bn)</t>
  </si>
  <si>
    <t>Book value (local bn)</t>
  </si>
  <si>
    <t>EV (USD bn)</t>
  </si>
  <si>
    <t>EPS FY1 (local, cons.)</t>
  </si>
  <si>
    <t>EPS FY2 (local, cons.)</t>
  </si>
  <si>
    <t>EPS NTM (local)</t>
  </si>
  <si>
    <t>P/E NTM</t>
  </si>
  <si>
    <t>P/E FY1</t>
  </si>
  <si>
    <t>P/E FY2</t>
  </si>
  <si>
    <t>P/E (last FY)</t>
  </si>
  <si>
    <t>EV/EBITDA NTM</t>
  </si>
  <si>
    <t>EV/EBITDA TTM</t>
  </si>
  <si>
    <t>P/B</t>
  </si>
  <si>
    <t>PEG</t>
  </si>
  <si>
    <t>GM %</t>
  </si>
  <si>
    <t>OM %</t>
  </si>
  <si>
    <t>EBITDA mgn %</t>
  </si>
  <si>
    <t>Rev grw FY1E %</t>
  </si>
  <si>
    <t>Rev YoY latest %</t>
  </si>
  <si>
    <t>EPS grw FY1→FY2 %</t>
  </si>
  <si>
    <t>Product mix</t>
  </si>
  <si>
    <t>Custom-silicon (XPU/ASIC) exposure</t>
  </si>
  <si>
    <t>AI/DC revenue share</t>
  </si>
  <si>
    <t>Memory (HBM/DRAM) exposure</t>
  </si>
  <si>
    <t>Revenue latest-FY (local bn)</t>
  </si>
  <si>
    <t>Revenue latest-FY (USD bn)</t>
  </si>
  <si>
    <t>Revenue FY1E (local bn)</t>
  </si>
  <si>
    <t>Revenue FY1E (USD bn)</t>
  </si>
  <si>
    <t>EBITDA latest-FY (local bn)</t>
  </si>
  <si>
    <t>EBITDA FY (USD bn)</t>
  </si>
  <si>
    <t>Net income FY (local bn)</t>
  </si>
  <si>
    <t>Net income FY (USD bn)</t>
  </si>
  <si>
    <t>Capex FY (local bn)</t>
  </si>
  <si>
    <t>Capex FY (USD bn)</t>
  </si>
  <si>
    <t>FCF (local bn)</t>
  </si>
  <si>
    <t>FCF (USD bn)</t>
  </si>
  <si>
    <t>Net debt/EBITDA</t>
  </si>
  <si>
    <t>ROE %</t>
  </si>
  <si>
    <t>Cluster A — AI accelerator &amp; merchant silicon (market cap descending, USD bn; target excluded from stats)</t>
  </si>
  <si>
    <t>Mean</t>
  </si>
  <si>
    <t>Median</t>
  </si>
  <si>
    <t>Cluster B — ecosystem adjacencies: foundry / memory / IP (market cap descending, USD bn)</t>
  </si>
  <si>
    <t>All-8 Mean</t>
  </si>
  <si>
    <t>All-8 Median</t>
  </si>
  <si>
    <t>Notes</t>
  </si>
  <si>
    <t>FX BOX — display conversion to USD</t>
  </si>
  <si>
    <t>USD=X</t>
  </si>
  <si>
    <t>Legend</t>
  </si>
  <si>
    <t>Legend: [D] direct disclosure/vendor field | [A] analyst/consensus estimate | [N] not available after recorded route attempts | [D-proxy]/[A-proxy] proxy with stated denominator. Fonts: blue = cited from Raw_Data (only marked color), black = calculated / live link / inputs, grey = notes; n.a. black centered with reason in the Raw_Data note.</t>
  </si>
  <si>
    <t>P/E FY1 = next full fiscal year per issuer calendar (NVDA/MRVL FY2027 Jan · ARM FY2027 Mar · MU FY2027 Aug — FY2026 printed 2026-09-30 · QCOM FY2026 Sep, report pending · AVGO FY2026 Oct/Nov · AMD/INTC/TSM FY2026 Dec). EPS FY1/FY2/NTM = Zacks-set street adjusted consensus via Nasdaq API (access 2026-10-09; underlying n per issuer in Raw_Data rows 163-171 col V/W); P/E (last FY) = price ÷ GAAP last-completed-fiscal-year EPS, recomputed on 2026-10-08 closes — NOT a rolling TTM: denominators are the latest full fiscal year per issuer (NVDA FY2026 Jan-26; QCOM FY2025 Sep-25, ~12.5 months behind the quote date; INTC n.a. — FY2025 net loss; QCOM FY2025 carries a ~5.7bn one-time deferred-tax charge whose 9MFY26 partial reversal falls outside this annual window) — bases labeled, never mixed.</t>
  </si>
  <si>
    <t>EV = market cap + net debt (borrowings − cash &amp; short-term investments per issuer latest 10-Q/20-F/6-K balance sheet, component calc; TSM FY2025 20-F USD convenience column at 31.37). All 9 rows USD-quoted — the FX box is idle (USD=X 1.0 anchor).</t>
  </si>
  <si>
    <t>Target (NVDA, highlighted, first row of cluster A) is EXCLUDED from every cluster Mean/Median (sample idiom — the stat formulas list the peer cells only). EV/EBITDA NTM = n.a. across the peer set: no FY1 EBITDA consensus exists on the free tier (coverage gap as of 2026-10-09). Rev grw FY1E % / Revenue FY1E for the 8 peers = Yahoo analysis-page revenue consensus (access 2026-10-10; per-issuer FY1 calendar per the legend) — NVDA shows live model values instead. EV/EBITDA TTM: NVDA = EV ÷ model TTM (OI + D&amp;A) through Q2FY27A; peers = EV ÷ latest-FY EBITDA (peer TTM denominators not collected; no common-period comparison).</t>
  </si>
  <si>
    <t>ROE = net income latest-FY ÷ equity at the same FY end (per the comps register; the book-value column is the LATEST quarter — the two bases differ by design). FCF = CFO − capex (latest FY, GAAP basis; capex shown negative per sample convention). EBITDA FY = operating income + D&amp;A [D-calc]; EBITDA mgn % is a live formula over the FY columns.</t>
  </si>
  <si>
    <t>† latest FY = each issuer’s most recent REPORTED fiscal year on its own calendar: AVGO FY2025 (Nov-25) · AMD/INTC/TSM FY2025 (Dec-25) · QCOM FY2025 (Sep-25) · MRVL FY2026 (Jan-26) · MU FY2026 (Sep-26) · ARM FY2026 (Mar-26) · NVDA FY2026 (Jan-26). It is the LAST AVAILABLE FY — not LTM, not a common calendar year.</t>
  </si>
  <si>
    <t>FX: all 9 panel members report in USD (TSM/ARM are USD-reporters) — the local-bn duplicate columns are not displayed (J, AJ, AL, AN, AP, AR, AT); the USD columns equal reported figures. FX box retained for future non-USD adds.</t>
  </si>
  <si>
    <t>QCOM PEG n.a. — FY1→FY2 EPS declines (7.74 → 7.17, negative growth); PEG is undefined for negative growth and returns n.a. by design. The same guard blanks earnings-based multiples whenever a denominator ≤ 0 (e.g., INTC P/E (last FY) on the FY2025 GAAP net loss).</t>
  </si>
  <si>
    <t>Consensus map — segment drivers first, then margins &amp; group P&amp;L (cluster layout)</t>
  </si>
  <si>
    <t>NVIDIA CORP (NVDA) — 43 sell-side research reports, 15 houses (13 with model estimates), page-cited | latest print Q2FY27 (2026-08-26); 31 of 43 reports post-print | street EPS = non-GAAP incl. SBC (post-Q1FY27 NVDA vintage) · as-of 2026-10-08</t>
  </si>
  <si>
    <t>Revenue USD bn | EPS USD | GM one-decimal % | segment YoY = per-bank level ÷ prior-year level − 1 (FY2026A = company actual common denominator, cited) | aggregates LIVE over the bank rows, shown only where n≥3 | citation semantics: blue = cited from the Raw_Data CONSENSUS zone (rows 256-338; research report IDs + page per row) · black = own-model rows (live links into this workbook) + live aggregates/deltas · grey = notes | own-model rows sit BELOW the street statistics, never inside them</t>
  </si>
  <si>
    <t>USD bn unless noted</t>
  </si>
  <si>
    <t>Q3FY27E</t>
  </si>
  <si>
    <t>Q4FY27E</t>
  </si>
  <si>
    <t>FY2026A</t>
  </si>
  <si>
    <t>Source / basis (bank · date · report id · page)</t>
  </si>
  <si>
    <t>Forecast</t>
  </si>
  <si>
    <t>SEGMENT REVENUE YOY</t>
  </si>
  <si>
    <t>Data Center revenue</t>
  </si>
  <si>
    <t xml:space="preserve">   Wells Fargo (08/27)</t>
  </si>
  <si>
    <t>Overweight $315.00 · id=9325501 · post-print 2026-08-27 · p5 · 15-house sell-side research set (2026-10-09)</t>
  </si>
  <si>
    <t>DC-Compute revenue</t>
  </si>
  <si>
    <t>Wells Fargo DC-Compute split · Overweight $315.00 · id=9325501 · post-print 2026-08-27 · p5 · 15-house sell-side research set (2026-10-09)</t>
  </si>
  <si>
    <t>DC-Networking revenue</t>
  </si>
  <si>
    <t>Wells Fargo DC-Networking split · Overweight $315.00 · id=9325501 · post-print 2026-08-27 · p5 · 15-house sell-side research set (2026-10-09)</t>
  </si>
  <si>
    <t xml:space="preserve">   TD Cowen (08/27)</t>
  </si>
  <si>
    <t>Buy (Top Pick) $275.00 · id=9314841 · post-print 2026-08-27 · p6 · 15-house sell-side research set (2026-10-09)</t>
  </si>
  <si>
    <t xml:space="preserve">   HSBC (08/27)</t>
  </si>
  <si>
    <t>Buy $365.00 · id=9294143 · post-print 2026-08-27 · p4 · 15-house sell-side research set (2026-10-09)</t>
  </si>
  <si>
    <t xml:space="preserve">   Mean</t>
  </si>
  <si>
    <t xml:space="preserve">   Median</t>
  </si>
  <si>
    <t xml:space="preserve">   Own model (live from Segment)</t>
  </si>
  <si>
    <t xml:space="preserve">   Delta (own − mean)</t>
  </si>
  <si>
    <t>Data Center revenue YoY</t>
  </si>
  <si>
    <t>Overweight $315.00 · id=9325501 · post-print 2026-08-27 · p5 · 15-house sell-side research set (2026-10-09) · n=1 → single-bank row only; no Mean/Median for n&lt;3 · annual YoY n.a. — DC-Compute H1FY26 never disclosed, so no FY2026A denominator; quarterly YoY vs the disclosed Q3/Q4FY26 sub-splits</t>
  </si>
  <si>
    <t>Overweight $315.00 · id=9325501 · post-print 2026-08-27 · p5 · 15-house sell-side research set (2026-10-09) · n=1 → single-bank row only; no Mean/Median for n&lt;3 · annual YoY n.a. — same H1FY26 sub-split gap; quarterly YoY vs disclosed Q3/Q4FY26</t>
  </si>
  <si>
    <t>Edge Computing revenue</t>
  </si>
  <si>
    <t>Overweight $315.00 · id=9325501 · post-print 2026-08-27 · p5 · YoY vs retrospect Edge basis (Gaming+ProViz+Auto+OEM; Raw_Data B334–337)</t>
  </si>
  <si>
    <t>Buy (Top Pick) $275.00 · id=9314841 · post-print 2026-08-27 · p6 · YoY vs the Gaming↔Edge presentation bridge (Raw_Data row 68 note) · 15-house sell-side research set (2026-10-09)</t>
  </si>
  <si>
    <t>Buy $365.00 · id=9294143 · post-print 2026-08-27 · p4 · YoY vs the Gaming↔Edge presentation bridge (Raw_Data row 68 note) · 15-house sell-side research set (2026-10-09)</t>
  </si>
  <si>
    <t>Live = Segment row 9 levels ÷ the same cited denominators (INTEGRATED — cite, don't recompute)</t>
  </si>
  <si>
    <t>Own model minus street Mean (pp); n.a. where no street stat (n&lt;3)</t>
  </si>
  <si>
    <t>Edge Computing revenue YoY</t>
  </si>
  <si>
    <t>Overweight $315.00 · id=9325501 · post-print 2026-08-27 · p5 · YoY vs the Gaming↔Edge presentation bridge (Raw_Data row 68 note) · 15-house sell-side research set (2026-10-09)</t>
  </si>
  <si>
    <t>Non-GAAP gross margin</t>
  </si>
  <si>
    <t xml:space="preserve">   Goldman Sachs (08/26)</t>
  </si>
  <si>
    <t>Buy $300.00 · id=9285790 · post-print 2026-08-26 · p3 · 15-house sell-side research set (2026-10-09)</t>
  </si>
  <si>
    <t xml:space="preserve">   Morgan Stanley (09/06)</t>
  </si>
  <si>
    <t>Overweight $300.00 · id=9330333 · post-print 2026-09-06 · p3 · 15-house sell-side research set (2026-10-09)</t>
  </si>
  <si>
    <t xml:space="preserve">   BofA (08/27)</t>
  </si>
  <si>
    <t>Buy $350.00 · id=9307660 · post-print 2026-08-27 · p7 · 15-house sell-side research set (2026-10-09)</t>
  </si>
  <si>
    <t xml:space="preserve">   Citi (08/27)</t>
  </si>
  <si>
    <t>Buy $315.00 · id=9286390 · post-print 2026-08-27 · p2 · 15-house sell-side research set (2026-10-09)</t>
  </si>
  <si>
    <t xml:space="preserve">   Piper Sandler (09/10)</t>
  </si>
  <si>
    <t>Overweight (initiated) $300.00 · id=9349149 · post-print 2026-09-10 · p10 · 15-house sell-side research set (2026-10-09)</t>
  </si>
  <si>
    <t xml:space="preserve">   Cantor Fitzgerald (08/27)</t>
  </si>
  <si>
    <t>Overweight (Top Pick) $350.00 · id=9325561 · post-print 2026-08-27 · p7 · 15-house sell-side research set (2026-10-09)</t>
  </si>
  <si>
    <t xml:space="preserve">   JPMorgan (09/02)</t>
  </si>
  <si>
    <t>Overweight $320.00 · id=9322112 · post-print 2026-09-02 — neither sell-side report prints an estimate table (rating/TP only; coverage gap) · p · 15-house sell-side research set (2026-10-09)</t>
  </si>
  <si>
    <t xml:space="preserve">   Truist Securities (08/27)</t>
  </si>
  <si>
    <t>Buy $307.00 · id=9325960 · post-print 2026-08-27 — quick take prints no model table (PT basis CY27 EPS $12.29; coverage gap) · p · 15-house sell-side research set (2026-10-09)</t>
  </si>
  <si>
    <t xml:space="preserve">   Own model (live)</t>
  </si>
  <si>
    <t>Live: FY2026A = IS!X72 (original-vintage as-disclosed 71.3%; street restatement never disclosed) · annual = native GP÷revenue (IS!Y9/Y7 etc.; GAAP = non-GAAP GM this vintage) · Q = IS!L24/M24 — the model GM walk 74.0 → 71.5 trough → 72.0-72.9 → 73.4</t>
  </si>
  <si>
    <t xml:space="preserve">   Delta (own ÷ mean − 1)</t>
  </si>
  <si>
    <t>Pre-print Non-GAAP gross margin</t>
  </si>
  <si>
    <t xml:space="preserve">   UBS (08/08, pre-print)</t>
  </si>
  <si>
    <t>Buy $280.00 · id=9177184 · PRE-PRINT 2026-08-08 (Taiwan export-data note, before the Q2FY27 print) · p5 · derived from bank's own levels · 15-house sell-side research set (2026-10-09)</t>
  </si>
  <si>
    <t xml:space="preserve">   RBC Capital Markets (08/20, pre-print)</t>
  </si>
  <si>
    <t>Outperform $300.00 · id=9302566 · PRE-PRINT 2026-08-20 (Q2FY27 preview) · p3 · 15-house sell-side research set (2026-10-09)</t>
  </si>
  <si>
    <t xml:space="preserve">   BMO Capital Markets (08/21, pre-print)</t>
  </si>
  <si>
    <t>Outperform (initiated) $340.00 · id=9301841 · PRE-PRINT 2026-08-21 (initiation) · p2 · 15-house sell-side research set (2026-10-09)</t>
  </si>
  <si>
    <t xml:space="preserve">   Wedbush (08/25, pre-print)</t>
  </si>
  <si>
    <t>Outperform $330.00 · id=9302852 · PRE-PRINT 2026-08-25 · p1 · 15-house sell-side research set (2026-10-09)</t>
  </si>
  <si>
    <t>Live: FY2026A = IS!X72 (original-vintage as-disclosed 71.3%; street restatement never disclosed) · annual = native GP÷revenue (IS!Y9/Y7 etc.; GAAP = non-GAAP GM this vintage) · Q = IS!L24/M24 — the model GM walk 74.0 → 71.5 trough → 72.0-72.9 → 72.9</t>
  </si>
  <si>
    <t>GROUP P&amp;L</t>
  </si>
  <si>
    <t>Buy $300.00 · id=9285790 · post-print 2026-08-26 · p4 · 15-house sell-side research set (2026-10-09)</t>
  </si>
  <si>
    <t>Live =IS! revenue ÷1000 (INTEGRATED — cite, don't recompute): Q = IS!L7/M7; FY = native annual IS!X7/Y7/Z7/AA7</t>
  </si>
  <si>
    <t>Non-GAAP operating expenses</t>
  </si>
  <si>
    <t>Live: FY2026A = Raw_Data!R143 original-vintage as-disclosed (16.694bn) · forecast = −IS!r46 (adjusted opex, sign-flipped) ÷1000</t>
  </si>
  <si>
    <t>Non-GAAP operating income</t>
  </si>
  <si>
    <t>Live: FY2026A = Raw_Data!R144 original-vintage as-disclosed (137.3bn) · forecast = IS!r47 (adjusted OI) ÷1000</t>
  </si>
  <si>
    <t>Non-GAAP diluted EPS</t>
  </si>
  <si>
    <t>Overweight $300.00 · id=9330333 · post-print 2026-09-06 · p1 · 15-house sell-side research set (2026-10-09)</t>
  </si>
  <si>
    <t>Buy $315.00 · id=9286390 · post-print 2026-08-27 · p1 · 15-house sell-side research set (2026-10-09)</t>
  </si>
  <si>
    <t>Live: FY2026A = Raw_Data!R147 company non-GAAP as disclosed (vintage B, 4.78) · FY2027E = IS!Y49 street-basis bridge (H1 actual non-GAAP + H2 model) · FY2028E/29E = native annual IS!Z33/AA33 · Q = IS!L33/M33 GAAP diluted (zero future securities gains ≈ street non-GAAP)</t>
  </si>
  <si>
    <t>FREE-TIER TAPE (vendor aggregates — labeled, no double-count with the sell-side houses)</t>
  </si>
  <si>
    <t xml:space="preserve">   Yahoo Finance non-GAAP EPS (vendor aggregate) (10/09)</t>
  </si>
  <si>
    <t>Yahoo analysis-page aggregate (2026-10-09) · id=YAHOO-NVDA-ANALYSIS-20261009 — Yahoo analysis-page aggregate (n=44–57 by column); 30d revisions: FY27 43 up/1 down, FY28 46 up/0 down; FY29 = Zacks set 21.64 (id=ZACKS-NVDA-20261009, n=7) — Yahoo does not print FY29; per-column sources labeled, never blended</t>
  </si>
  <si>
    <t xml:space="preserve">   Vcpscanner tape (aggregator; cross-check) (10/06)</t>
  </si>
  <si>
    <t>TP tape (2026-10-08) · id=VCPSCANNER-NVDA-20261006 — n=79 · mean 338.96 · median 322.50 · range 210–515 · cross-check only — the primary TP tape is the 15-house sell-side research set (2026-10-09)</t>
  </si>
  <si>
    <t xml:space="preserve">   Zacks mean TP (cross-check) (10/08)</t>
  </si>
  <si>
    <t>TP tape (2026-10-08) · id=ZACKS-NVDA-20261008 — mean TP 328.66 (Zacks prints implied +38.4% vs its own 237.47 close) · range 180–515 · cross-check</t>
  </si>
  <si>
    <t xml:space="preserve">   Yahoo Finance revenue USD bn (vendor aggregate) (10/09)</t>
  </si>
  <si>
    <t>Yahoo analysis-page aggregate (2026-10-09) · id=YAHOO-NVDA-ANALYSIS-20261009 — Q3FY27 108.98 (guide 108.0 ±2%) · Q4FY27 124.48 · FY27 411.65 · FY28 692.21 (+68.2% y/y)</t>
  </si>
  <si>
    <t>KEY DEBATES</t>
  </si>
  <si>
    <t>① FY2028+ slope — supply-cap vs demand</t>
  </si>
  <si>
    <t>FY28 rev band 504.7–718.3 $B (post-print 650.7–718.3): bulls read the +70% guide as a supply cap (demand ≈ +100%), bears cite the law of large numbers. Deciding signals: CSP quarterly capex guides · Rubin ramp &amp; lead times (~20% of Q3 DC rev) · procurement commitments $119B→$279B · Nov-2026 Q4FY27 guide step.</t>
  </si>
  <si>
    <t>② Vendor financing / “circularity”</t>
  </si>
  <si>
    <t>$500B+ third-party financing partnerships: bulls call capacity fungible and compute sold out; MS bear case centers on “more circularity, more unseen risks”. Deciding signals: rev-share recognition timing (100%-GM annuity vs off-B/S risk) · neocloud counterparty credit · FCF vs net-income wedge (Q2 FCF 21.4 vs street 42.3) · commitments &amp; guarantees roll.</t>
  </si>
  <si>
    <t>③ GM trajectory — memory cost vs price pass-through</t>
  </si>
  <si>
    <t>Post-print FY28 GM 72.3–72.8% vs pre-print 74.7–75.2% — the reset itself is the priced disagreement; Citi/TD/Cantor see Jan-2027 price rises restoring 72–73%. Deciding signals: 2027 HBM contract pricing · Q4FY27 GM actual (guide trough 71–72%) · post-increase price/volume evidence · Rubin-Ultra HBM content.</t>
  </si>
  <si>
    <t>④ China re-inclusion — the zero base</t>
  </si>
  <si>
    <t>Q3FY27 guide assumes ZERO China Data Center compute revenue; no sell-side model adds it back (consistent with the guide). Deciding signals: export-license policy (H20-class parts) · guide language (“not assuming any Data Center compute revenue from China”) · quarterly China revenue disclosure (H1FY27 $7.88B China-HQ customers). Company commentary (Q3FY26 call, 2025-11-19): “Consistent with last quarter, we are not assuming any Data Center compute revenue from China.” H20 sales ≈ $50MM in Q3; sizable purchase orders never materialized.</t>
  </si>
  <si>
    <t>Source: 15-house sell-side research set (2026-10-09) — one line per debate above.</t>
  </si>
  <si>
    <t>COVERAGE GAPS</t>
  </si>
  <si>
    <t>JPMorgan / Truist: sell-side reports print no estimate tables (rating/TP only) — forward estimates are coverage gaps; their rows carry n.a. and self-exclude from every live statistic.</t>
  </si>
  <si>
    <t>Segment-level coverage: only Wells Fargo (DC-Compute / DC-Networking / Edge / Data Center), HSBC and TD Cowen (DC / Edge), Cantor (DC, Q3FY27 only) print segment splits — segment YoY shown per the n=1/n=2 collapse rules above (Q4FY27E DC n=2, Edge quarters n=2 → no street stat; DC-Compute/DC-Networking n=1 → collapsed single rows).</t>
  </si>
  <si>
    <t>FY2030+ suppressed (n&lt;3). FY2029 revenue n=10 (BMO/RBC/Wedbush print no FY29; JPM/Truist none). GAAP EPS detail (6 houses: BofA/Citi/HSBC/TD/Cantor/UBS) lives in the consensus map; FY2026A GM/opex/OI columns: no bank prints them (blanks by design).</t>
  </si>
  <si>
    <t>Fiscal-calendar note: the consensus summary text prints FY2027-end 2027-01-24; this workbook's calendar governs — FY2027 is a 53-week year ending 2027-01-31 (Cover!B9).</t>
  </si>
  <si>
    <t>Checks: consensus bank-count reconciliation (FY27 revenue full research set n=13 · post-print n=9 · TP tape n=15 via the Comps PT section).</t>
  </si>
  <si>
    <t>Assumptions - author inputs (amber) with historical reference</t>
  </si>
  <si>
    <t>NVIDIA CORP (NVDA) — CIK 0001045810 — driver-led three-statement model</t>
  </si>
  <si>
    <t>US GAAP | USD millions | Fiscal year end late January (52/53-week; FY2026 ended 2026-01-25)</t>
  </si>
  <si>
    <t>2024-04-28</t>
  </si>
  <si>
    <t>2024-07-28</t>
  </si>
  <si>
    <t>2024-10-27</t>
  </si>
  <si>
    <t>2025-01-26</t>
  </si>
  <si>
    <t>2025-04-27</t>
  </si>
  <si>
    <t>2025-07-27</t>
  </si>
  <si>
    <t>2025-10-26</t>
  </si>
  <si>
    <t>2026-01-25</t>
  </si>
  <si>
    <t>2026-04-26</t>
  </si>
  <si>
    <t>2026-07-26</t>
  </si>
  <si>
    <t>2026-10-25</t>
  </si>
  <si>
    <t>2027-01-31</t>
  </si>
  <si>
    <t>2027-05-02</t>
  </si>
  <si>
    <t>2027-08-01</t>
  </si>
  <si>
    <t>2027-10-31</t>
  </si>
  <si>
    <t>2028-01-30</t>
  </si>
  <si>
    <t>2028-04-30</t>
  </si>
  <si>
    <t>2028-07-30</t>
  </si>
  <si>
    <t>2028-10-29</t>
  </si>
  <si>
    <t>2029-01-28</t>
  </si>
  <si>
    <t>Line item</t>
  </si>
  <si>
    <t>Q1FY25A</t>
  </si>
  <si>
    <t>Q2FY25A</t>
  </si>
  <si>
    <t>Q3FY25A</t>
  </si>
  <si>
    <t>Q4FY25A</t>
  </si>
  <si>
    <t>Q1FY26A</t>
  </si>
  <si>
    <t>Q2FY26A</t>
  </si>
  <si>
    <t>Q3FY26A</t>
  </si>
  <si>
    <t>Q4FY26A</t>
  </si>
  <si>
    <t>Q1FY27A</t>
  </si>
  <si>
    <t>Q2FY27A</t>
  </si>
  <si>
    <t>Q1FY28E</t>
  </si>
  <si>
    <t>Q2FY28E</t>
  </si>
  <si>
    <t>Q3FY28E</t>
  </si>
  <si>
    <t>Q4FY28E</t>
  </si>
  <si>
    <t>Q1FY29E</t>
  </si>
  <si>
    <t>Q2FY29E</t>
  </si>
  <si>
    <t>Q3FY29E</t>
  </si>
  <si>
    <t>Q4FY29E</t>
  </si>
  <si>
    <t>FY2025A</t>
  </si>
  <si>
    <t>1 - REVENUE DRIVERS: PLATFORM GROWTH (QoQ %, quarterly)</t>
  </si>
  <si>
    <t>Data Center Compute growth (QoQ %)</t>
  </si>
  <si>
    <t>%</t>
  </si>
  <si>
    <t>Data Center Networking growth (QoQ %)</t>
  </si>
  <si>
    <t>Gaming/Edge Computing growth (QoQ %)</t>
  </si>
  <si>
    <t>Edge Computing as the second segment (7/13 banks): QoQ inputs hold a mid-single-digit sequential climb off the Q2FY27A Edge run-rate (7,198 = total - Data Center), +5.6% Q3FY27 decaying to +3.0% Q4FY29 (forecast horizon ends FY2029); historical columns show realized QoQ on the dual-era row (Gaming base through Q4FY26, Edge from Q1FY27 - cross-taxonomy prints are presentation effects, not economic signals). Sources: EDGAR accession 0001045810-26-000075, 10-Q segment tables, 15-house sell-side research set (2026-10-09).</t>
  </si>
  <si>
    <t>Hyperscale share of Data Center (%) - memo driver</t>
  </si>
  <si>
    <t>Memo-only cross-cut (Segment r101-102). Path: easing (54.5% → 48%): Q2FY27A 54.7% (61% a year ago, ~50% in Q1 — Citi 9286390); management expects ACIE to grow faster and possibly surpass Hyperscale (RBC 9335960, HSBC 9294143); Citi 9246466 had hyperscalers at ~49% of the business.</t>
  </si>
  <si>
    <t>Week-count factor (weeks in quarter ÷ 13) — FY2027 is a 53-week year (Q4FY27 = 14 weeks); switch OFF by default, set N13 = 14/13 to model the extra week</t>
  </si>
  <si>
    <t>X</t>
  </si>
  <si>
    <t>DEFAULT OFF (N13 = 1) — the Q4 YoY input is taken as the full-quarter view. Q4FY27 spans 2026-10-26→2027-01-31 = 14 weeks (Cover B9). Applied to: segment revenue build (Segment r9/44/45/56, with the prior-year base normalized ÷ its own factor so Q4FY28 YoY is on a 13-week base), R&amp;D / SG&amp;A $ (IS r10-11; $ inputs = 13-week run-rate), interest income/expense (IS r16-17), D&amp;A (CF r35); working-capital balances annualize ×4 ÷ factor (BS r9-11, 21-22). Not applied to SBC / unallocated / capital-return $ inputs. Set N13 = 14/13 to switch the extra week on.</t>
  </si>
  <si>
    <t>2 - SEGMENT REVENUE DRIVERS (YoY): volume YoY + ASP YoY ⇒ revenue YoY per reportable line; Edge = YoY estimate</t>
  </si>
  <si>
    <t>DC-Compute — units growth (YoY %)  [INPUT: declared; calibrated to the FY28 +70% guide at the declared ASP path — revenue floats vs the guide when this changes]</t>
  </si>
  <si>
    <t>DC-Compute bottom-up annual drivers: units growth (r15) and ASP growth (r16, from the generation-mix index r77–r80) are the declared inputs; revenue growth (r17) is the formula OUTPUT = (1 + units) × (1 + ASP) − 1. FY28/FY29 units are declared inputs calibrated to land FY28 total revenue on the +70% management guide at the declared ASP and attach paths — revenue is NOT pinned to the guide: edit units or ASP and revenue moves bottom-up, and Checks r33 then reads the model-vs-guide gap (currently 0). Cross-check FY28: Citi 9286390 15.1M GPU units (+42% YoY, pure-GPU); the blended units read runs lower because the Rubin mix lifts ASP (content per GW ~$25B Blackwell → ~$40B Vera Rubin) and CPUs sit inside DC-Compute revenue but not in GPU units. UBS 9311330 racks 77.5k → 95.1k (+22.7%, CY27). Sources: 15-house sell-side research set (2026-10-09).</t>
  </si>
  <si>
    <t>DC-Compute — blended ASP growth (YoY %)  [from the generation-mix index, r80]</t>
  </si>
  <si>
    <t>FROM THE MIX: quarterly ASP YoY = index(q) ÷ index(q−4) − 1; annual FY28/FY29 = average-index ratio (AA16/AB16), index from r77–r80. Growth is mostly content / ASP, not volume: content per GW ~$25B Blackwell → ~$40B Vera Rubin; Citi's FY28 AI-GPU sales revision "largely reflects an increase in blended ASP".</t>
  </si>
  <si>
    <t>DC-Compute — revenue growth (YoY %)  [Q3–Q4FY27 input; FY28–FY29 = (1 + units) × (1 + ASP) − 1 OUTPUT]</t>
  </si>
  <si>
    <t>Q3/Q4FY27 are author inputs calibrated so Data Center revenue = 102,033 / 111,325 under the current networking attach. FY28–FY29: Segment r44 (compute) = FY27 annual level × (1 + r17) × quarterly phasing (r76); r45 (networking) likewise off r19 — both fully driven by the declared r15–r19 inputs.</t>
  </si>
  <si>
    <t>DC-Networking attach ratio (networking ÷ DC-Compute)</t>
  </si>
  <si>
    <t>Attach on a RISING annual pp path (2026-10-10 view): FY27 24.0% → FY28 25.5% (+1.5pp) → FY29 27.0% (+1.5pp) — evidence: Q3FY26 networking more than doubled (+162% YoY) vs Compute +56% on the NVLink scale-up onset and double-digit Spectrum-X Ethernet / Quantum-X InfiniBand growth (company commentary, Q3FY26 call); Ethernet GPU attach rates now roughly on par with InfiniBand (company); UBS's post-FQ4FY26 note sees networking slightly AHEAD of Compute near-term. TD Cowen 9314841 (22.1% → 20.0%) and Wells Fargo (21% → 19%) carry the conservative declining variant. FY27 quarterly cells (M18/N18) = inputs; AA18/AB18 = annual inputs; FY28–FY29 quarterly cells = derived output. JPM 9317894 notes "a moderation in networking growth" (contrary indicator, noted).</t>
  </si>
  <si>
    <t>DC-Networking revenue growth (YoY %)  [Q3–Q4FY27 output; FY28–FY29 input — declared constant, calibrated to the street dollar path]</t>
  </si>
  <si>
    <t>Networking dollar = attach input (r18) × DC-Compute (r15–r17): the FY28/FY29 annual growth cells (r19) are declared inputs calibrated to the +70% guide, the declared ASP path and the attach path — they do not re-solve; edit them directly. No independent networking units/ASP disclosure exists — every sell-side model carries networking as an attach ratio or a revenue line.</t>
  </si>
  <si>
    <t>DC-Networking share of Data Center (%)  [output]</t>
  </si>
  <si>
    <t>Output. Share of DC eases from ~19.6% (Q2FY27A) to ~16.7% (FY29) — TD Cowen 16.7%, Wells Fargo 16.0% (FY29).</t>
  </si>
  <si>
    <t>Adjustment between DC and Compute &amp; Networking</t>
  </si>
  <si>
    <t>Graphics — volume growth (YoY %)</t>
  </si>
  <si>
    <t>Graphics — ASP growth (YoY %)</t>
  </si>
  <si>
    <t>Graphics — revenue growth (YoY %) = (1+vol)×(1+ASP)−1</t>
  </si>
  <si>
    <t>Edge Computing revenue growth (YoY %) — estimate</t>
  </si>
  <si>
    <t>3 - SEGMENT PROFIT DRIVERS</t>
  </si>
  <si>
    <t>Compute &amp; Networking operating margin</t>
  </si>
  <si>
    <t>OUTPUT: C&amp;N operating income = consolidated IS operating income − Graphics OI − All Other (Segment r73), so this margin is live and moves with the GM walk / opex $ / Graphics margin. Checks r19 bounds it inside the realized Q1FY25A–Q2FY27A band ± 5pp.</t>
  </si>
  <si>
    <t>Graphics operating margin</t>
  </si>
  <si>
    <t>Graphics margin mean-reverts from the Q2FY27A 49.2% spike toward its FY26-era ~40% band (41.6% Q1FY27A, 42.1% Q4FY26A). Sources: EDGAR XBRL companyfacts API.</t>
  </si>
  <si>
    <t>Stock-based compensation ($M)</t>
  </si>
  <si>
    <t>SBC grows ~3%/q off the Q2FY27A 2,026 run-rate with headcount and grant inflation (FY27 vintage: SBC is inside non-GAAP, so GAAP/non-GAAP stay near-identical). Sources: EDGAR XBRL companyfacts API, 8-K EX-99.1 non-GAAP reconciliation tables.</t>
  </si>
  <si>
    <t>Unallocated corporate &amp; other ($M)</t>
  </si>
  <si>
    <t>Unallocated corporate &amp; other grows from the Q2FY27A 834 base alongside the opex program. Sources: EDGAR XBRL companyfacts API.</t>
  </si>
  <si>
    <t>4 - INCOME STATEMENT DRIVERS</t>
  </si>
  <si>
    <t>Quarterly bps walk (8/13 banks), total-company GM only (0/13 model segment GM): Q3FY27 74.0% = guided (GAAP = non-GAAP this vintage, +/-50bp, cited); Q4FY27 71.5% = memory/HBM-cost trough (est./call-calibrated - 'GM to bottom out in 4QFY27 at 71-72%; primary driver = extreme memory price inflation', HSBC 9294143 p.3; BofA 9307660 71.5 / TD Cowen 9314841 71.5 / Cantor 9325561 71.5 / Piper 9349149 71.3 / WF 9325501 71.6); FY28 recovery 72.0-&gt;72.9% on partial pass-through + Rubin mix (post-print FY28 GM band 72.3-72.8); FY29 held at the FY28 exit 72.9% (post-print FY29E GM GS 72.9% / MS 72.7% / Citi 72.9% / TD Cowen 72.2%; UBS 9311174 flags AMD MI500 competition and memory relief only from CY2H28). Sources: Q2FY27 earnings release EX-99.1, 15-house sell-side research set (2026-10-09). Company commentary (Q3FY26 call, 2025-11-19): “GAAP and non-GAAP gross margins are expected to be 74.8% and 75%, respectively, plus or minus 50 basis points. Looking ahead to fiscal year 2027, input costs are on the rise, but we are working to hold gross margins in the mid-70s.”</t>
  </si>
  <si>
    <t>R&amp;D ($M)</t>
  </si>
  <si>
    <t>R&amp;D in $ (bank convention 9/13: $ levels are inputs, ratios are outputs): Q3FY27 7,850 + SG&amp;A 1,350 = 9,200 = the GAAP opex guide (cited); then sequential step-ups +9.6% Q4FY27 decaying to +4.4%/q by the horizon end Q4FY29 (forecast horizon ends FY2029) (RBC 9302566 prints +11/+4/+10% QoQ; BofA 9307660 and UBS 9177184 model R&amp;D/SG&amp;A as separate $ rows). FY27 opex +53.5% YoY (HSBC 9294143 'low-50% y-o-y FY27'); FY28 opex +42.7%. Sources: Q2FY27 earnings release EX-99.1, EDGAR XBRL companyfacts API, 15-house sell-side research set (2026-10-09).</t>
  </si>
  <si>
    <t>SG&amp;A ($M)</t>
  </si>
  <si>
    <t>SG&amp;A in $: 1,350 Q3FY27 (with R&amp;D 7,850 = the 9,200 GAAP guide, cited; the realized ~5.2:1 R&amp;D:SG&amp;A split preserved); step-ups +5.9% Q4FY27 decaying to +3.3%/q by the horizon end Q4FY29 (forecast horizon ends FY2029) (bank-typical +2-5%/q); %-of-revenue glides 1.23% Q3FY27 -&gt; 0.85% Q4FY29 on scale (computed memo on IS r35). Sources: Q2FY27 earnings release EX-99.1, EDGAR XBRL companyfacts API, 15-house sell-side research set (2026-10-09).</t>
  </si>
  <si>
    <t>Interest income yield on opening interest-bearing cash + debt securities (ex marketable equity, Raw_Data r368; per quarter)</t>
  </si>
  <si>
    <t>Yield base EXCLUDES marketable equity securities (non-interest-bearing; 30.2B at Q1FY27A, 42.8B at Q2FY27A, Raw_Data r368) — a base including equities would dilute the realized yield to ~0.6%/q. Forecast held at the Q2FY27A realized ex-equity yield (live link L37); equity securities held flat at 42,783 in the forecast base (IS r16). Sources: EDGAR XBRL companyfacts API.</t>
  </si>
  <si>
    <t>Interest expense rate on opening debt (per quarter)</t>
  </si>
  <si>
    <t>Blended ~4.8%/yr on the post-issuance $33.4B debt stack ($24.9B H1FY27 notes + legacy), below the one-off issuance quarter's realized 2.7%/q. Sources: EDGAR accession 0001045810-26-000075, SEC filings.</t>
  </si>
  <si>
    <t>Other income (expense), net ($M)</t>
  </si>
  <si>
    <t>No future mark-to-market gains on equity securities assumed (unforecastable and excluded from the street non-GAAP basis); residual other items ~0. Sources: 8-K EX-99.1 non-GAAP tables.</t>
  </si>
  <si>
    <t>Effective tax rate</t>
  </si>
  <si>
    <t>17.0% = midpoint of the FY27 guided 16-18% range (cut from 17-19% at the Q1FY27 print), held flat thereafter absent a further guide. Sources: Q2FY27 earnings release EX-99.1.</t>
  </si>
  <si>
    <t>WASO basic (M)</t>
  </si>
  <si>
    <t>Millions of shares</t>
  </si>
  <si>
    <t>Basic WASO = diluted − the Q2FY27A basic/diluted spread (held). Linked to buyback $ (r58: 50% × FCF − dividends).</t>
  </si>
  <si>
    <t>WASO diluted (M)</t>
  </si>
  <si>
    <t>Diluted WASO(q) = prior − buybacks(q) ÷ repurchase price (r43: Q2FY27A realized net cost $223.95, grown at Ke). Buybacks = 50% × FCF − dividends (r58). Sources: EDGAR XBRL companyfacts API.</t>
  </si>
  <si>
    <t>Net buyback cost per net diluted share retired ($/sh) — trailing-4Q realized</t>
  </si>
  <si>
    <t>USD/share</t>
  </si>
  <si>
    <t>Net cost per net diluted share retired: Q2FY27A trailing-4Q realized $223.95 (L43), grown at the cost of equity each quarter (≈ expected share-price return) — holding it flat while buybacks scale to ~$50B+/q would overstate share shrink.</t>
  </si>
  <si>
    <t>5 - WORKING CAPITAL (days use 365; quarterly revenue annualized x4)</t>
  </si>
  <si>
    <t>DSO (days sales outstanding)</t>
  </si>
  <si>
    <t>Days</t>
  </si>
  <si>
    <t>DSO held at ~60 days (Q2FY27A 59.8): "extended payment terms on large purchase agreements with certain customers" (GS 9285790); a couple of large investment-grade customers with extended terms (Citi 9286390); management "giving a bit more time" given customers' capex (RBC 9335960).</t>
  </si>
  <si>
    <t>DIO (days inventory outstanding, on COGS)</t>
  </si>
  <si>
    <t>DIO 120 days through FY28 (Q2FY27A 120; inventory staged ahead of Rubin volume — GS 9285790; MS 9330333 has FY27E / FY28E DOI 151 / 124), easing to 115 in FY29 as supply loosens.</t>
  </si>
  <si>
    <t>DPO (days payable outstanding, on COGS)</t>
  </si>
  <si>
    <t>DPO held at 55d against the realized 52-58d band. Sources: EDGAR XBRL companyfacts API.</t>
  </si>
  <si>
    <t>Prepaid % of revenue</t>
  </si>
  <si>
    <t>Prepaid held at the Q2FY27A 3.5% of revenue. Sources: EDGAR XBRL companyfacts API.</t>
  </si>
  <si>
    <t>Accrued liabilities % of revenue</t>
  </si>
  <si>
    <t>Accrued liabilities held at the Q2FY27A 28% of revenue. Sources: EDGAR XBRL companyfacts API.</t>
  </si>
  <si>
    <t>6 - CAPITAL, CASH FLOW &amp; CAPITAL RETURNS</t>
  </si>
  <si>
    <t>Capex 3.0% of revenue, above the trailing ~2.4% as AI infrastructure and headquarters spend scales. Sources: EDGAR XBRL companyfacts API.</t>
  </si>
  <si>
    <t>D&amp;A rate — total D&amp;A incl. intangible amortization ÷ opening PP&amp;E (per quarter)</t>
  </si>
  <si>
    <t>Rate is calibrated on TOTAL D&amp;A (Raw_Data r55 includes intangible amortization) ÷ opening PP&amp;E, realized 8.2–10.8%. Forecast PP&amp;E depreciation = rate × opening PP&amp;E × week factor − intangible amortization (CF r35), so total D&amp;A = rate × PP&amp;E.</t>
  </si>
  <si>
    <t>Intangible additions ($M)</t>
  </si>
  <si>
    <t>Small recurring intangible additions; the Q4FY26 step-up (Groq deferred consideration 2,944) is treated as one-time. Sources: SEC filings, EDGAR XBRL companyfacts API.</t>
  </si>
  <si>
    <t>Intangible amortization, scheduled ($M)</t>
  </si>
  <si>
    <t>Scheduled intangible amortization ~120/q against the ~3.0B balance. Sources: EDGAR XBRL companyfacts API.</t>
  </si>
  <si>
    <t>Net purchases of marketable securities ($M)</t>
  </si>
  <si>
    <t>Net securities purchases set to a steady treasury-deployment 6,000/q, well below the H1FY27 pace that included 42.4B of strategic equity purchases. Sources: SEC filings.</t>
  </si>
  <si>
    <t>Dividends ($M)</t>
  </si>
  <si>
    <t>Dividends held at the Q2FY27A ~6,000 run-rate ($0.25/sh). Banks model DPS increases (BofA $0.25 → $0.30; UBS DPS $0.76 → $1.20 → $1.44) — not adopted; under the 50% policy a higher dividend only shifts mix away from buybacks.</t>
  </si>
  <si>
    <t>Share repurchases ($M)</t>
  </si>
  <si>
    <t>Buybacks = capital-return target (r81, 50%) × FCF (CFO − capex, CF r16 + r17) − dividends (r57), floored at 0. Capacity: $99B authorization remaining at Q2FY27 (Citi 9284937) − ≈$14B executed since period-end (implied bridge) + $150B authorized 2026-09-28 = $235B total remaining, expected to be utilized through FY28 (85 + 150 = 235; Citi 9376213, HSBC 9376698).</t>
  </si>
  <si>
    <t>Tax withholding on share-based comp ($M)</t>
  </si>
  <si>
    <t>Share-based tax withholding ~2,300/q, inside the recent 2,129-2,402 band. Sources: EDGAR XBRL companyfacts API. Charged to retained earnings (BS!31) in the equity roll; placement is conventional, total equity is identical either way (Checks r18 PASS).</t>
  </si>
  <si>
    <t>Proceeds from stock issuance &amp; other financing, net ($M) — hist = CFF residual (Q2FY27A incl. $24.9B debt issuance); fcst = employee stock-plan proceeds</t>
  </si>
  <si>
    <t>Employee stock-plan proceeds ~300/q (the Q2FY27 print on this line's derivation basis included the 24.9B debt issuance). Sources: EDGAR XBRL companyfacts API.</t>
  </si>
  <si>
    <t>Short-term debt balance ($M)</t>
  </si>
  <si>
    <t>Short-term debt held at the Q2FY27A 1,000 balance; no maturities assumed. Sources: EDGAR XBRL companyfacts API.</t>
  </si>
  <si>
    <t>Debt repayment ($M)</t>
  </si>
  <si>
    <t>No debt repayments assumed across the forecast horizon. Sources: EDGAR XBRL companyfacts API.</t>
  </si>
  <si>
    <t>FX effect on cash ($M)</t>
  </si>
  <si>
    <t>FX effect on cash assumed nil (immaterial historically). Sources: EDGAR XBRL companyfacts API.</t>
  </si>
  <si>
    <t>Notes: days use a 365-day year (quarterly flows annualized x4); ratio/percent inputs are decimals; amber cells (M-V) are author quarterly forecast inputs and every one is referenced by workbook formulas; columns C-L show realized historical quarterly values (YoY vs the same quarter last year where applicable); annual columns X-AB are derived (sums/averages/Q4 of the four quarters, or recomputed from the annual statement columns).</t>
  </si>
  <si>
    <t>7 - NON-GAAP BRIDGE DRIVERS (FY2027-vintage basis; the street-calibration bridge)</t>
  </si>
  <si>
    <t>Non-GAAP bridge: acquisition-related &amp; other costs — cost of revenue ($M)</t>
  </si>
  <si>
    <t>Forecast 0: no future acquisition-related/COR-other exclusions modeled — the FY2027-vintage non-GAAP (street basis) converges to model GAAP forward (IS!18 = 0 future gains; documented forecast discontinuation). Realized history cited from Raw_Data row 112 (folded total; components rows 110-111); n.a. where the FY2027 basis was never presented. Sources: 8-K EX-99.1 non-GAAP tables (Q1FY27 earnings release EX-99.1, Q2FY27 earnings release EX-99.1).</t>
  </si>
  <si>
    <t>Non-GAAP bridge: acquisition-related costs — operating expenses ($M)</t>
  </si>
  <si>
    <t>Forecast 0: same convergence rationale as row 52. Realized = GAAP − non-GAAP opex (derived, Raw_Data row 113; composition in its locator). Sources: 8-K EX-99.1 non-GAAP tables.</t>
  </si>
  <si>
    <t>Non-GAAP bridge: (gains) losses from equity securities, net ($M)</t>
  </si>
  <si>
    <t>Forecast 0: future mark-to-market gains are unforecastable and excluded from the street basis (same sign-off as IS!18). Realized cited from Raw_Data row 114 (Q1FY27A −15,936 / Q2FY27A −7,771 realized gains). Sources: 8-K EX-99.1 non-GAAP tables.</t>
  </si>
  <si>
    <t>Non-GAAP bridge: other items — other income, net ($M)</t>
  </si>
  <si>
    <t>Forecast 0. Realized cited from Raw_Data row 115. Sources: 8-K EX-99.1 non-GAAP tables.</t>
  </si>
  <si>
    <t>Non-GAAP bridge: income tax impact of adjustments (incl. OBBBA) ($M)</t>
  </si>
  <si>
    <t>Forecast 0: with zero pre-tax adjustments the tax effect is zero. Realized cited from Raw_Data row 118 (row 116 + the Q2FY26A one-time OBBBA 48, row 117). Sources: 8-K EX-99.1 non-GAAP tables.</t>
  </si>
  <si>
    <t>8 - GUIDANCE ANCHOR, DC GENERATION MIX, CAPITAL ALLOCATION &amp; COMMITMENTS</t>
  </si>
  <si>
    <t>Total revenue growth anchor (YoY %) — FY28 = management guide; FY29 = author growth kept</t>
  </si>
  <si>
    <t>FY28 ~+70% = management guide given 2026-08-26, supply-constrained, customer forecasts ~+100% (GS 9285790, MS 9286429/9330333, Citi 9286390, JPM 9317926/9322112, UBS 9311174, RBC 9335960, BofA 9307660, HSBC 9294143, TD Cowen 9314841). Post-print FY28E: GS +74.0%, MS +70.0%. FY29 growth held at +33.43% ( GS +33.0%, MS +40.6%). Company commentary (Q3FY26 call, 2025-11-19): “we are working into our $500 billion forecast. And we are on track for that as we have finished some of the quarters ... there's definitely an opportunity for us to have more on top of the $500 billion that we announced” (Kress; ~$150B already shipped, per the MS Q&amp;A). Company commentary (Q3FY26 call, 2025-11-19): “We currently have visibility to a $0.5 trillion in Blackwell and Rubin revenue from the start of this year through the end of calendar year 2026. By executing our annual product cadence and extending our performance leadership through full-stack design, we believe NVIDIA will be the superior choice for the $3 trillion to $4 trillion in annual AI infrastructure build we estimate by the end of the decade.”</t>
  </si>
  <si>
    <t>Total revenue target ($M) = prior FY revenue × (1 + anchor)</t>
  </si>
  <si>
    <t>Quarterly phasing of fiscal-year revenue (% of FY)</t>
  </si>
  <si>
    <t>Smooth geometric-decay QoQ path from the Q4FY27 base (QoQ +19.6% → +3.3% over FY28–FY29), solved so each year sums to its target; Checks r34 requires each year to sum to 100%. Q1FY28 step reflects price increases effective Q1FY28 and the Rubin ramp (TD Cowen 9314841, RBC 9335960) on a Q4FY27 base below the post-print street (GS/UBS/TD/RBC/HSBC 117–132B).</t>
  </si>
  <si>
    <t>Rubin-family share of DC-Compute revenue (%)</t>
  </si>
  <si>
    <t>Q3FY27 ~20% of DC revenue from Vera Rubin (mgmt via GS 9285790, Citi 9286390, RBC 9335960, UBS 9311330). FY28 anchors: UBS C2027 revenue mix 69% Rubin + 23% Rubin Ultra (9214912); Citi FY28 Rubin ~61% of 15.1M units (9286390) ≈ 71% of revenue at a 60% premium. Path averages ~79% in FY28, ~97% in FY29. Company commentary (Q3FY26 call, 2025-11-19): “The Rubin platform is on track to ramp in the second half of 2026. Powered by seven chips, the Vera Rubin platform will once again deliver an X factor improvement in performance relative to Blackwell. We have received silicon back from our supply chain partners.”</t>
  </si>
  <si>
    <t>Rubin ASP premium vs Blackwell (x − 1)</t>
  </si>
  <si>
    <t>~60% ASP premium over Blackwell (RBC 9335960); consistent with content per GW ~$25B (Blackwell) → ~$40B (Vera Rubin) (mgmt via Citi 9286390, MS 9286429, TD Cowen 9314841). Rubin Ultra / Feynman uplift not modelled separately.</t>
  </si>
  <si>
    <t>Like-for-like price uplift vs FY27 pricing (%)</t>
  </si>
  <si>
    <t>Price increases executed from Q1FY28 across multiple systems incl. Vera Rubin, set at system level (TD Cowen 9314841, Citi 9286390); not broad-based (RBC 9335960); UBS 9311330 sees memory-heavy rack pricing $7–8M → $8–9M+. Blended +5% is an analyst judgment.</t>
  </si>
  <si>
    <t>Blended DC-Compute ASP index (Blackwell-era = 1.00)</t>
  </si>
  <si>
    <t>Revenue-weighted: ASP = (1 + uplift) ÷ [Rubin share ÷ (1 + premium) + (1 − Rubin share)]. Pre-Rubin quarters = 1.00 (Blackwell / Blackwell Ultra / Hopper mix differences not modelled).</t>
  </si>
  <si>
    <t>Capital return target (% of FCF; FCF = CFO − capex)</t>
  </si>
  <si>
    <t>Policy: return at least 50% of FCF (committed May 2026 — BofA 9181805); returned 60% YTD with the goal of 50% next year and beyond (Citi 9286390, JPM 9317926, MS 9286429); GS 9285790: "over 50% of excess free cash flow". 2026-09-28: board authorized a further $150B of repurchases (largest increase ever) — total remaining authorization $235B through FY28 (Citi 9376213; HSBC 9376698); consistent with the ≥50%-of-FCF policy, no assumption change. Buybacks (r58) = target × FCF − dividends.</t>
  </si>
  <si>
    <t>Strategic equity investments — committed, cash outflow ($M)</t>
  </si>
  <si>
    <t>$25B committed-but-unfunded equity investments (10-Q; Raw_Data r372), spread evenly over Q3FY27–Q4FY28 (timing not disclosed — judgment). Booked to non-marketable investments (BS r18). No new, not-yet-committed ecosystem investments are assumed.</t>
  </si>
  <si>
    <t>Acquisitions — cash consideration ($M)</t>
  </si>
  <si>
    <t>Hugging Face $11.9B purchase price (HSBC 9339262), expected close 1H CY27 → placed in Q2FY28. Booked to goodwill/intangibles (BS r15). The $1B equity retention is SBC over time and not modelled. Deducted from net cash in the DCF bridge (DCF r67).</t>
  </si>
  <si>
    <t>Memo: guarantees outstanding — maximum exposure ($M)</t>
  </si>
  <si>
    <t>Contingent, not a forecast cash flow: $105.0B Ohio campus (effective from FY29, triggered only on tenant default) + $3.5B LPS. Stress-tested in DCF §H (S1).</t>
  </si>
  <si>
    <t>Memo: supply &amp; capacity commitments outstanding ($M) — dynamic, scales with Data Center revenue</t>
  </si>
  <si>
    <t>Dynamic memo: supply &amp; capacity commitments scale with Data Center revenue growth (Segment r8); Q2FY27A disclosed 279,000 (Raw_Data r371, 10-Q commitments note; Q1FY27 119,000). Off-B/S until delivery; UBS 2026-02-26 watches a similar 'supply' indicator (inventory + gross purchase commitments + long-term supply obligations).</t>
  </si>
  <si>
    <t>Segment - market platform and reportable segment detail</t>
  </si>
  <si>
    <t>A - REVENUE BY MARKET PLATFORM</t>
  </si>
  <si>
    <t>Forecast = live sum of the Compute / Networking sub-rows (Section B). B–I (FY25–26) = same DC definition carried into the FY27 regime (retrospect per Raw_Data r67).</t>
  </si>
  <si>
    <t xml:space="preserve">Edge Computing </t>
  </si>
  <si>
    <t>B–I retrospect = Gaming + ProViz + Auto + OEM (disclosed old lines, Raw r68–71); J–K = new-regime actuals; forecast = prior-year quarter ÷ its week factor × (1 + Edge YoY, Assumptions r25) × week factor (r13).</t>
  </si>
  <si>
    <t>Sum of the five platforms; ties to IS revenue (Checks row 11).</t>
  </si>
  <si>
    <t>Data Center growth (YoY %)</t>
  </si>
  <si>
    <t>Edge Computing growth (YoY %)</t>
  </si>
  <si>
    <t>Total revenue (YoY %)</t>
  </si>
  <si>
    <t>Data Center share of total revenue (%)</t>
  </si>
  <si>
    <t>Edge Computing share of total revenue (%)</t>
  </si>
  <si>
    <t>Total revenue (%)</t>
  </si>
  <si>
    <t>A1- REVENUE BY MARKET PLATFORM - OLD</t>
  </si>
  <si>
    <t>Old disclosure regime ends Q4FY26 — FY2027+ columns intentionally blank.</t>
  </si>
  <si>
    <t xml:space="preserve">Gaming </t>
  </si>
  <si>
    <t>Professional Visualization</t>
  </si>
  <si>
    <t>Automotive</t>
  </si>
  <si>
    <t>OEM and Other</t>
  </si>
  <si>
    <t>Gaming Computing growth (YoY %)</t>
  </si>
  <si>
    <t>Professional Visualization growth (YoY %)</t>
  </si>
  <si>
    <t>Automotive growth (YoY %)</t>
  </si>
  <si>
    <t>OEM and Other growth (YoY %)</t>
  </si>
  <si>
    <t>Gaming Computing share of total revenue (%)</t>
  </si>
  <si>
    <t>Professional Visualization share of total revenue (%)</t>
  </si>
  <si>
    <t>Automotive share of total revenue (%)</t>
  </si>
  <si>
    <t>OEM and Other share of total revenue (%)</t>
  </si>
  <si>
    <t>B - DATA CENTER SUB-SPLIT (Compute / Networking)</t>
  </si>
  <si>
    <t>Data Center - Compute</t>
  </si>
  <si>
    <t>Q3–Q4FY27 = prior-year quarter × (1 + revenue YoY, Assumptions r17) × week factor. FY28–FY29 = bottom-up: prior-FY DC-Compute × (1 + revenue growth, Assumptions r17 = (1 + units r15)(1 + ASP r16) − 1) × quarterly phasing r76; FY28 units live-solved so total revenue ties to the +70% guide (Checks r33). B–F (FY25–Q1FY26) = disclosed quarterly values linked to Raw_Data r83–84; Q4FY25 is directly disclosed and also equals FY less 9M.</t>
  </si>
  <si>
    <t>Data Center - Networking</t>
  </si>
  <si>
    <t>Networking: L–M (Q3–Q4FY27) = DC-Compute × attach (Assumptions r18). FY28–FY29 = annual dollar path (Assumptions r19 inputs) × quarterly phasing r76; attach r18 FY28–FY29 = derived output, declining in annual pp steps. K (Q2FY27A) = Raw_Data K84 derived estimate.</t>
  </si>
  <si>
    <t>Data Center sub-total (Compute + Networking)</t>
  </si>
  <si>
    <t>Compute + Networking sub-total.</t>
  </si>
  <si>
    <t>Delta vs disclosed Data Center</t>
  </si>
  <si>
    <t>Sub-total vs disclosed Data Center platform (row 8) — equals 0 where the sub-lines tie.</t>
  </si>
  <si>
    <t>Delta vs disclosed Compute + Networking</t>
  </si>
  <si>
    <t>Sub-total vs disclosed Compute &amp; Networking reportable revenue (row 49) — C&amp;N carries ~0.8% non-DC items.</t>
  </si>
  <si>
    <t>% to total Data Center</t>
  </si>
  <si>
    <t>C - REPORTABLE SEGMENTS - REVENUE</t>
  </si>
  <si>
    <t>Adjustement</t>
  </si>
  <si>
    <t>Compute &amp; Networking revenue</t>
  </si>
  <si>
    <t>The Compute &amp; Networking segment includes our Data Center accelerated computing and networking platforms and AI solutions and software, and automotive platforms and autonomous and electric vehicle solutions including software.</t>
  </si>
  <si>
    <t>Forecast = prior-year quarter ÷ its week factor × (1 + Graphics revenue YoY, Assumptions r24) × week factor (r13).</t>
  </si>
  <si>
    <t>All Other revenue</t>
  </si>
  <si>
    <t>Platform-view reconciling category: zero in disclosed periods; in forecast periods it carries the platform-vs-segment mapping residual (no independent revenue driver).</t>
  </si>
  <si>
    <t>Total revenue (segment view)</t>
  </si>
  <si>
    <t>Platform view minus segment view (check)</t>
  </si>
  <si>
    <t>Equals 0 in all periods.</t>
  </si>
  <si>
    <t>Data Center - Compute revenue growth (YoY %)</t>
  </si>
  <si>
    <t>Data Center - Networking revenue growth (YoY %)</t>
  </si>
  <si>
    <t>Compute &amp; Networking revenue growth (YoY %)</t>
  </si>
  <si>
    <t>Graphics revenue growth (YoY %)</t>
  </si>
  <si>
    <t>Data Center - Compute share of total revenue (%)</t>
  </si>
  <si>
    <t>Data Center - Networking share of total revenue (%)</t>
  </si>
  <si>
    <t>Compute &amp; Networking share of total revenue (%)</t>
  </si>
  <si>
    <t>Graphics share of total revenue (%)</t>
  </si>
  <si>
    <t>D - REPORTABLE SEGMENTS - OPERATING INCOME</t>
  </si>
  <si>
    <t>Compute &amp; Networking operating income</t>
  </si>
  <si>
    <t>Forecast = RESIDUAL: consolidated IS operating income − Graphics OI − All Other. The implied margin is reported on Assumptions r28 and bounded by Checks r19.</t>
  </si>
  <si>
    <t>Graphics operating income</t>
  </si>
  <si>
    <t>Forecast = Graphics revenue × Graphics operating margin (Assumptions r29).</t>
  </si>
  <si>
    <t>All Other operating income (loss)</t>
  </si>
  <si>
    <t>Forecast = -(SBC + unallocated corporate &amp; other).</t>
  </si>
  <si>
    <t>Consolidated operating income</t>
  </si>
  <si>
    <t>Segment-basis total; differs from IS operating income within the Checks tolerance (basis-difference calibration, Checks row 13).</t>
  </si>
  <si>
    <t>Compute &amp; Networking operating margin (%)</t>
  </si>
  <si>
    <t>Graphics operating margin (%)</t>
  </si>
  <si>
    <t>Consolidated operating margin (%)</t>
  </si>
  <si>
    <t>Compute &amp; Networking margin change (pp)</t>
  </si>
  <si>
    <t>Pp change vs prior period (quarters: vs prior quarter; annual: vs prior year; first column of each block blank).</t>
  </si>
  <si>
    <t>Graphics margin change (pp)</t>
  </si>
  <si>
    <t>Compute &amp; Networking operating income growth (YoY %)</t>
  </si>
  <si>
    <t>Quarterly YoY vs the same quarter last year (FY-2 quarters blank).</t>
  </si>
  <si>
    <t>Graphics operating income growth (YoY %)</t>
  </si>
  <si>
    <t>Compute &amp; Networking share of segment profit (%, C&amp;N+G basis)</t>
  </si>
  <si>
    <t>Basis: Compute &amp; Networking + Graphics subtotal (excludes All Other).</t>
  </si>
  <si>
    <t>Graphics share of segment profit (%, C&amp;N+G basis)</t>
  </si>
  <si>
    <t>E - ALL OTHER (CORPORATE) RECONCILING ITEMS</t>
  </si>
  <si>
    <t>Stock-based compensation</t>
  </si>
  <si>
    <t>Forecast cites the SBC input directly.</t>
  </si>
  <si>
    <t>Unallocated cost of revenue and operating expenses</t>
  </si>
  <si>
    <t>Historical only; forecast uses the combined row below.</t>
  </si>
  <si>
    <t>Acquisition-related and other costs</t>
  </si>
  <si>
    <t>Acquisition termination cost</t>
  </si>
  <si>
    <t>Historical only; zero assumed in forecast.</t>
  </si>
  <si>
    <t>Other items, net</t>
  </si>
  <si>
    <t>Unallocated, acquisition-related and other, net (forecast basis)</t>
  </si>
  <si>
    <t>Forecast-basis aggregate of the four historical-only rows above; cites the input directly.</t>
  </si>
  <si>
    <t>Total All Other</t>
  </si>
  <si>
    <t>Foots to All Other operating income (loss) in every period.</t>
  </si>
  <si>
    <t>G - CUSTOMER-TYPE CROSS-CUT</t>
  </si>
  <si>
    <t>Hyperscale revenue (memo)</t>
  </si>
  <si>
    <t>MEMO cross-cut: Hyperscale share path now eases 54.5% → 48% (Assumptions r12) — ACIE grows faster per management (Citi 9286390, RBC 9335960).</t>
  </si>
  <si>
    <t>AI Clouds, Industrial &amp; Enterprise revenue (memo)</t>
  </si>
  <si>
    <t>ACIE (AI Clouds, Industrial &amp; Enterprise): history cited (32,196 / 40,313); forecast = DC total - Hyperscale memo row. ACIE leads Q3FY27, hyperscalers re-accelerate from Q4FY27 (HSBC 9294143; Cantor ~50/50 CY27).</t>
  </si>
  <si>
    <t>Cross-cut vs Data Center total (check)</t>
  </si>
  <si>
    <t>Equals 0 in all periods (memo integrity).</t>
  </si>
  <si>
    <t>Hyperscale revenue growth (YoY %)</t>
  </si>
  <si>
    <t>ECIE revenue growth (YoY %)</t>
  </si>
  <si>
    <t>Hyperscale share of Data Center revenue (%)</t>
  </si>
  <si>
    <t>ECIE share of Data Center revenue (%)</t>
  </si>
  <si>
    <t>H - ENGINE CROSS-CHECK OVERLAYS (computed notes - NOT drivers; scenario framing, never cited rows)</t>
  </si>
  <si>
    <t>Implied AI GPU (Compute) share of Data Center revenue (%) - overlay vs Citi ~75%</t>
  </si>
  <si>
    <t>Compute as the AI-GPU proxy vs Citi: AI GPU sales ~75% of DC revenue on average in FY2028E (Citi 9286390 p.9-10; prior vintage ~80% for FY27-28E in Citi 9246466 p.4). The engine lands ~80-81% through the horizon - the disclosed Compute line is the broader platform definition (CPU/DPU compute content included), hence a few pp above Citi's GPU-only ~75%. Overlay note, not a driver.</t>
  </si>
  <si>
    <t>Income Statement (consolidated)</t>
  </si>
  <si>
    <t>Forecast = Segment platform total (driver-led).</t>
  </si>
  <si>
    <t>Cost of revenue</t>
  </si>
  <si>
    <t>Negative (expense). Forecast = -revenue x (1 - gross margin).</t>
  </si>
  <si>
    <t>Derived; equals reported gross profit when Raw_Data is internally consistent.</t>
  </si>
  <si>
    <t>Research and development</t>
  </si>
  <si>
    <t>Negative (expense). Forecast = −R&amp;D $ input (13-week run-rate) × week factor (Assumptions r13).</t>
  </si>
  <si>
    <t>Selling, general and administrative</t>
  </si>
  <si>
    <t>Negative (expense). Forecast = −SG&amp;A $ input (13-week run-rate) × week factor (Assumptions r13).</t>
  </si>
  <si>
    <t>Acquisition termination and other costs</t>
  </si>
  <si>
    <t>One-time items; zero in forecast.</t>
  </si>
  <si>
    <t>Forecast = gross profit − R&amp;D − SG&amp;A − one-time items (driver-led).</t>
  </si>
  <si>
    <t>Memo: Operating income, segment-derived</t>
  </si>
  <si>
    <t>Segment-basis consolidated operating income (Segment section D). Forecast C&amp;N OI is the residual of row 13, so this memo equals row 13 by construction.</t>
  </si>
  <si>
    <t>Memo: Variance (segment-derived minus reported)</t>
  </si>
  <si>
    <t>Zero in every period (history: reported tie; forecast: C&amp;N residual by construction). Checks r13 keeps it as a link-integrity identity.</t>
  </si>
  <si>
    <t>Interest income</t>
  </si>
  <si>
    <t>Forecast = quarterly ex-equity yield (Assumptions r37) × opening cash + debt securities (marketable securities − marketable equity 42,783 held flat, Raw_Data r368) × week factor.</t>
  </si>
  <si>
    <t>Interest expense</t>
  </si>
  <si>
    <t>Forecast = quarterly rate × opening total debt × week factor.</t>
  </si>
  <si>
    <t>Other income (expense), net</t>
  </si>
  <si>
    <t>Total other income (expense), net</t>
  </si>
  <si>
    <t>Income before income tax</t>
  </si>
  <si>
    <t>Income tax expense (benefit)</t>
  </si>
  <si>
    <t>Negative = expense; a benefit period shows positive.</t>
  </si>
  <si>
    <t>Memo: Gross margin %</t>
  </si>
  <si>
    <t>Memo: Operating margin %</t>
  </si>
  <si>
    <t>Memo: Net margin %</t>
  </si>
  <si>
    <t>Memo: Effective tax rate %</t>
  </si>
  <si>
    <t>PER-SHARE DATA</t>
  </si>
  <si>
    <t>Weighted average shares - basic</t>
  </si>
  <si>
    <t>As originally reported each quarter; annual = average of the four quarters; note split normalization in Cover caveats.</t>
  </si>
  <si>
    <t>Weighted average shares - diluted</t>
  </si>
  <si>
    <t>EPS - basic</t>
  </si>
  <si>
    <t>Computed (NI / WASO); annual = annual NI / annual WASO, never the sum of quarterly EPS; may differ slightly from as-reported rounded EPS in Raw_Data.</t>
  </si>
  <si>
    <t>EPS - diluted</t>
  </si>
  <si>
    <t>Memo: R&amp;D % of revenue</t>
  </si>
  <si>
    <t>Computed display (bank convention: $ inputs, ratio outputs) - replaces the pre-remodel ratio-as-driver architecture.</t>
  </si>
  <si>
    <t>Memo: SG&amp;A % of revenue</t>
  </si>
  <si>
    <t>NON-GAAP (COMPANY-DEFINED)</t>
  </si>
  <si>
    <t>Two vintage-separated bridges below the GAAP face (vintage-separation rule — never mixed in one line): rows 39-55 = FY2027 vintage (current basis; SBC INSIDE non-GAAP) — the street-calibration basis; rows 57-76 = original FY2025–FY2026 vintage (SBC excluded, basis discontinued from Q1FY27, as-disclosed record). Historical bridge lines are blue cites into the Raw_Data NON-GAAP RECONCILIATION zone (rows 110-158); forecast bridge lines are red cites to the Assumptions section-6 drivers (rows 67-71, all 0 — forward model GAAP ≈ FY2027-vintage non-GAAP). blank = never presented/disclosed on that basis (vintage map per the sub-band notes). As-disclosed adjusted figures live in Raw_Data; the foot memos below prove the computed lines foot to them (Checks rows 27-31).</t>
  </si>
  <si>
    <t>FY2027 VINTAGE (current basis, Q1FY27 onward; SBC INSIDE non-GAAP) — GAAP → non-GAAP bridge</t>
  </si>
  <si>
    <t>Cost of revenue adjustments — acquisition-related &amp; other</t>
  </si>
  <si>
    <t>Hist blue = Raw_Data rows 110-118 (presented columns only); forecast black = Assumptions rows 52-56 (0 — convergence to model GAAP; documented forecast discontinuation). Q2FY26A tax includes the one-time OBBBA 48 (Raw_Data row 117).</t>
  </si>
  <si>
    <t>Operating expense adjustments — acquisition-related</t>
  </si>
  <si>
    <t xml:space="preserve">(Gains) losses from equity securities, net </t>
  </si>
  <si>
    <t xml:space="preserve">Other items — other-income adjustment </t>
  </si>
  <si>
    <t>Income tax impact of non-GAAP adjustments (incl. OBBBA)</t>
  </si>
  <si>
    <t xml:space="preserve">Adjusted gross profit </t>
  </si>
  <si>
    <t>Computed from the bridge (GAAP line + adjustments); foots to the as-disclosed Raw_Data rows 119/121/122/124 (memos rows 53-55, Checks rows 34-36).</t>
  </si>
  <si>
    <t xml:space="preserve">Adjusted operating expenses </t>
  </si>
  <si>
    <t>Negative presentation (expense), matching the GAAP face sign convention.</t>
  </si>
  <si>
    <t xml:space="preserve">Adjusted operating income </t>
  </si>
  <si>
    <t xml:space="preserve">Adjusted net income </t>
  </si>
  <si>
    <t>GAAP net income + the five bridge lines above.</t>
  </si>
  <si>
    <t>Adjusted diluted EPS (non-GAAP, $)</t>
  </si>
  <si>
    <t>Adjusted NI / diluted WASO (row 31); annual = annual adjusted NI / annual WASO, never the sum of quarterly EPS. As-disclosed rounded EPS at Raw_Data row 125; foot memo row 55.</t>
  </si>
  <si>
    <t xml:space="preserve">Memo: Adjusted gross margin % </t>
  </si>
  <si>
    <t xml:space="preserve">Memo: Adjusted operating margin % </t>
  </si>
  <si>
    <t xml:space="preserve">Memo: Adjusted net margin % </t>
  </si>
  <si>
    <t>Memo: adjusted OI minus as-disclosed (foot)</t>
  </si>
  <si>
    <t>Equals 0 in every presented historical period (Checks row 34); EPS within ±0.01 of the cents-rounded print (Checks row 37). Grey memo — not a PASS/REVIEW check row.</t>
  </si>
  <si>
    <t>Memo: adjusted NI minus as-disclosed (foot)</t>
  </si>
  <si>
    <t>Memo: adjusted diluted EPS minus as-disclosed (foot)</t>
  </si>
  <si>
    <t>ORIGINAL VINTAGE (FY2025–FY2026 definition; SBC EXCLUDED from non-GAAP) — as-disclosed bridge; basis discontinued from Q1FY27</t>
  </si>
  <si>
    <t>Stock-based compensation — cost of revenue</t>
  </si>
  <si>
    <t>Hist blue = Raw_Data rows 131-140 (blank = never presented on this basis; Q1/Q2FY25 never disclosed quarterly; FY2025A/FY2026A annual cites in W/X from Raw_Data Q/R columns); basis discontinued from Q1FY27 — no forecast.</t>
  </si>
  <si>
    <t>Acquisition-related and other costs — cost of revenue</t>
  </si>
  <si>
    <t>Other — cost of revenue</t>
  </si>
  <si>
    <t>Operating expense adjustments — SBC + acquisition-related + other</t>
  </si>
  <si>
    <t>(Gains) losses from equity securities, net</t>
  </si>
  <si>
    <t>Interest expense — debt discount amortization</t>
  </si>
  <si>
    <t>Other items (B)/(C) — other-income adjustment</t>
  </si>
  <si>
    <t>Income tax impact of non-GAAP adjustments (original vintage)</t>
  </si>
  <si>
    <t>Tax expense from OBBBA</t>
  </si>
  <si>
    <t>Adjusted gross profit</t>
  </si>
  <si>
    <t>Quarterly computed from the bridge; annual W/X = as-disclosed fiscal-year cites (Q1/Q2FY25 never disclosed quarterly, so the FY column cannot sum quarters). Foots to Raw_Data rows 141/143/144/146 (memos rows 74-76, Checks rows 34-36).</t>
  </si>
  <si>
    <t>Adjusted operating expenses</t>
  </si>
  <si>
    <t>Adjusted operating income</t>
  </si>
  <si>
    <t>Adjusted net income</t>
  </si>
  <si>
    <t>Adjusted diluted EPS (non-GAAP, original vintage, $)</t>
  </si>
  <si>
    <t>Quarterly = adjusted NI / diluted WASO (row 31); annual = as-disclosed cites (Raw_Data row 147).</t>
  </si>
  <si>
    <t>Memo: Adjusted gross margin %</t>
  </si>
  <si>
    <t>Memo: Adjusted operating margin %</t>
  </si>
  <si>
    <t>Equals 0 in every presented historical period (Checks rows 34-36); EPS within ±0.01 of the cents-rounded print (Checks row 37).</t>
  </si>
  <si>
    <t>Balance Sheet (consolidated, period end)</t>
  </si>
  <si>
    <t>Cash and cash equivalents</t>
  </si>
  <si>
    <t>Forecast: CF-derived (ending cash, CF basis). No BS plug.</t>
  </si>
  <si>
    <t>Marketable securities</t>
  </si>
  <si>
    <t>Forecast = opening + net purchases (CF supplemental schedule).</t>
  </si>
  <si>
    <t>Accounts receivable, net</t>
  </si>
  <si>
    <t>Forecast = quarterly revenue ÷ week factor × 4 (13-week annualization) × DSO / 365.</t>
  </si>
  <si>
    <t>Inventories, net</t>
  </si>
  <si>
    <t>Forecast = quarterly COGS annualized (x4) x DIO / 365 (COGS negative on IS).</t>
  </si>
  <si>
    <t>Prepaid expenses and other current assets</t>
  </si>
  <si>
    <t>Total current assets</t>
  </si>
  <si>
    <t>Property and equipment, net</t>
  </si>
  <si>
    <t>Forecast = opening + capex - depreciation (CF supplemental schedule).</t>
  </si>
  <si>
    <t>Operating lease right-of-use assets</t>
  </si>
  <si>
    <t>Held flat (no lease schedule modeled).</t>
  </si>
  <si>
    <t>Goodwill</t>
  </si>
  <si>
    <t>Goodwill (incl. acquired intangibles, simplified) = opening + acquisitions (CF r39; Hugging Face in Q2FY28).</t>
  </si>
  <si>
    <t>Intangible assets, net</t>
  </si>
  <si>
    <t>Forecast = opening + additions - scheduled amortization, floored at zero (MIN/MAX).</t>
  </si>
  <si>
    <t>Deferred income tax assets</t>
  </si>
  <si>
    <t>Held flat; cash tax approx. book tax.</t>
  </si>
  <si>
    <t>Other assets (noncurrent)</t>
  </si>
  <si>
    <t>Other assets (noncurrent) incl. non-marketable securities = opening + committed equity investments funded (CF r38).</t>
  </si>
  <si>
    <t>Total assets</t>
  </si>
  <si>
    <t>Accounts payable</t>
  </si>
  <si>
    <t>Forecast = quarterly COGS annualized (x4) x DPO / 365.</t>
  </si>
  <si>
    <t>Accrued and other current liabilities</t>
  </si>
  <si>
    <t>Short-term debt</t>
  </si>
  <si>
    <t>Forecast balance input.</t>
  </si>
  <si>
    <t>Total current liabilities</t>
  </si>
  <si>
    <t>Long-term debt</t>
  </si>
  <si>
    <t>Forecast = opening - scheduled repayment.</t>
  </si>
  <si>
    <t>Operating lease liabilities (noncurrent)</t>
  </si>
  <si>
    <t>Held flat.</t>
  </si>
  <si>
    <t>Other long-term liabilities</t>
  </si>
  <si>
    <t>Total liabilities</t>
  </si>
  <si>
    <t>Common stock and additional paid-in capital</t>
  </si>
  <si>
    <t>Forecast = opening + SBC + stock issuance proceeds.</t>
  </si>
  <si>
    <t>Retained earnings</t>
  </si>
  <si>
    <t>Forecast = opening + NI - dividends - repurchases - withholding. In this model share repurchases AND share-based withholding are both charged to retained earnings (total equity is unaffected by the classification).</t>
  </si>
  <si>
    <t>Accumulated other comprehensive income (loss)</t>
  </si>
  <si>
    <t>Total shareholders' equity</t>
  </si>
  <si>
    <t>Total liabilities and equity</t>
  </si>
  <si>
    <t>Balance check (assets - liabilities - equity)</t>
  </si>
  <si>
    <t>Equals 0 in all periods (Checks row 7).</t>
  </si>
  <si>
    <t>WORKING CAPITAL MEMO</t>
  </si>
  <si>
    <t>Net working capital (NWC)</t>
  </si>
  <si>
    <t>NWC = (total current assets - cash &amp; equivalents) - (total current liabilities - short-term debt). On-page formula, every period column.</t>
  </si>
  <si>
    <t>AR / revenue x 365; quarterly columns annualize revenue x4, annual columns use the annual level. Forecast columns reproduce the Assumptions row 31 input by construction.</t>
  </si>
  <si>
    <t>Inventories / cost of revenue x 365 (IS cost of revenue carries a negative sign; quarterly annualized x4); reproduces Assumptions row 32.</t>
  </si>
  <si>
    <t>AP / cost of revenue x 365 (quarterly annualized x4); reproduces Assumptions row 33.</t>
  </si>
  <si>
    <t>Cash Flow Statement (consolidated)</t>
  </si>
  <si>
    <t>Depreciation and amortization</t>
  </si>
  <si>
    <t>Forecast = PP&amp;E depreciation + intangible amortization (supplemental schedule below).</t>
  </si>
  <si>
    <t>Changes in operating assets/liabilities and other, net (derived)</t>
  </si>
  <si>
    <t>Historical: derived residual (CFO − NI − D&amp;A − SBC). Forecast: sum of the WC detail rows 11–15.</t>
  </si>
  <si>
    <t>FY27-era composition (derived row, historical only): working-capital outflows ≈ −28.5B, investment-gain reversals −7,771 (Q2FY27; 6M −23,707), deferred taxes +982 (6M), inventory write-downs +784 (Q2FY27) — components per the XBRL cash-flow facts; anchored to reported CFO, never forced.</t>
  </si>
  <si>
    <t>(−) Change in accounts receivable</t>
  </si>
  <si>
    <t>Historical: disclosed balance-sheet deltas (Raw_Data r28–40); forecast: BS-driven. Col B blank (no Q4FY24 in grid).</t>
  </si>
  <si>
    <t>(−) Change in inventories</t>
  </si>
  <si>
    <t>(−) Change in prepaid expenses</t>
  </si>
  <si>
    <t>(+) Change in accounts payable</t>
  </si>
  <si>
    <t>(+) Change in accrued liabilities</t>
  </si>
  <si>
    <t>Net cash provided by operating activities</t>
  </si>
  <si>
    <t>Purchases of property and equipment and intangible assets</t>
  </si>
  <si>
    <t>Forecast = -(PP&amp;E capex + intangible additions).</t>
  </si>
  <si>
    <t>Net (purchases)/maturities of marketable securities and other investing</t>
  </si>
  <si>
    <t>Historical: derived CFI − capex (includes strategic investments). Forecast = −(net purchases of marketable securities + strategic equity investments + acquisitions) (rows 37–39).</t>
  </si>
  <si>
    <t>Net cash provided by (used in) investing activities</t>
  </si>
  <si>
    <t>Repurchases of common stock</t>
  </si>
  <si>
    <t>Payments related to tax withholding for share-based compensation</t>
  </si>
  <si>
    <t>Dividends paid</t>
  </si>
  <si>
    <t>Proceeds from stock issuance and other financing, net</t>
  </si>
  <si>
    <t>Historical: derived (CFF + repurchases + withholding + dividends). Forecast = issuance - debt repayment.</t>
  </si>
  <si>
    <t>Net cash provided by (used in) financing activities</t>
  </si>
  <si>
    <t>Effect of FX and other on cash</t>
  </si>
  <si>
    <t>Historical: derived residual. Forecast input.</t>
  </si>
  <si>
    <t>Net change in cash</t>
  </si>
  <si>
    <t>Beginning cash</t>
  </si>
  <si>
    <t>Q1FY-2A = Q1FY-2A ending - net change (Raw_Data); other quarters = prior-quarter ending; annual = Q1 beginning.</t>
  </si>
  <si>
    <t>Ending cash (CF basis)</t>
  </si>
  <si>
    <t>CF presented on cash, cash equivalents and restricted cash basis; equals BS cash when no material restricted cash.</t>
  </si>
  <si>
    <t>Memo: Ending cash per Raw_Data</t>
  </si>
  <si>
    <t>Historical tie-out only.</t>
  </si>
  <si>
    <t>Memo: Difference (CF basis vs reported)</t>
  </si>
  <si>
    <t>Equals 0 when the CF basis matches the BS cash line.</t>
  </si>
  <si>
    <t>SUPPLEMENTAL SCHEDULES (forecast only)</t>
  </si>
  <si>
    <t>Capex (PP&amp;E)</t>
  </si>
  <si>
    <t>Forecast schedule; historical columns intentionally blank.</t>
  </si>
  <si>
    <t>Intangible additions</t>
  </si>
  <si>
    <t>Depreciation (PP&amp;E) = D&amp;A rate × opening PP&amp;E × week factor − intangible amortization</t>
  </si>
  <si>
    <t>Total D&amp;A (row 8) = D&amp;A rate × opening PP&amp;E × week factor; the rate is calibrated on total D&amp;A incl. amortization (Assumptions r53), so amortization is carved out here rather than added on top.</t>
  </si>
  <si>
    <t>Intangible amortization (capped at opening balance)</t>
  </si>
  <si>
    <t>Net purchases of marketable securities</t>
  </si>
  <si>
    <t>Strategic equity investments (committed)</t>
  </si>
  <si>
    <t>Forecast: committed-but-unfunded equity investments (Assumptions r82; 10-Q $25B), investing outflow; excluded from FCFF (DCF M34).</t>
  </si>
  <si>
    <t>Acquisitions — cash consideration</t>
  </si>
  <si>
    <t>Forecast: Hugging Face $11.9B cash consideration in Q2FY28 (Assumptions r83); investing outflow; deducted in the DCF bridge (DCF r67).</t>
  </si>
  <si>
    <t>Checks - deterministic tie-outs and calibration references</t>
  </si>
  <si>
    <t>BS balance: total assets - total liabilities - equity</t>
  </si>
  <si>
    <t>Identity checks (rows 7-18): expected difference = 0 in every period; status is PASS when every period difference is within the stated tolerance (column AB). Rows 16-17 require the shown balance to be &gt;= 0 in all forecast periods.</t>
  </si>
  <si>
    <t>Cash bridge: CF ending cash - BS cash</t>
  </si>
  <si>
    <t>CF internal: beginning + CFO + CFI + CFF + FX - ending</t>
  </si>
  <si>
    <t>NI link: IS net income - CF net income</t>
  </si>
  <si>
    <t>Segment revenue tie: Segment total revenue - IS revenue</t>
  </si>
  <si>
    <t>Platform sum tie: sum of segment platforms (Data Center + Edge Computing) - Segment total revenue</t>
  </si>
  <si>
    <t>Segment profit tie: Segment consolidated OI - IS operating income</t>
  </si>
  <si>
    <t>Link-integrity identity: forecast C&amp;N OI is the residual of the IS build, so the segment total equals IS OI by construction; a non-zero value means a broken link. Margin reasonableness at r19.</t>
  </si>
  <si>
    <t>Historical revenue tie: IS revenue - Raw_Data revenue</t>
  </si>
  <si>
    <t>Historical CFO tie: CF CFO - Raw_Data CFO</t>
  </si>
  <si>
    <t>Intangibles non-negative: BS intangibles balance &gt;= 0</t>
  </si>
  <si>
    <t>Cash non-negative: BS cash &gt;= 0</t>
  </si>
  <si>
    <t>Equity composition: total equity - (CS&amp;APIC + RE + AOCI)</t>
  </si>
  <si>
    <t>C&amp;N operating margin (forecast residual) inside the realized Q1FY25A–Q2FY27A band ± tolerance</t>
  </si>
  <si>
    <t>Reasonableness bound on the residual C&amp;N margin (realized band 55.7%–75.2% ± 5pp).</t>
  </si>
  <si>
    <t>SUPPLEMENTAL CHECKS — same PASS/REVIEW semantics; tolerances declared per row</t>
  </si>
  <si>
    <t>Bank-row counts — FY27 rev full-set n=13 · post-print n=9 · TP tape n=15</t>
  </si>
  <si>
    <t>Exact integer counts: full-set FY27 revenue n=13 = Raw_Data!C298:C310 (9 post-print + 4 pre-print houses); post-print n=9 = Consensus!F76:F86; TP tape n=15 = Raw_Data!E176:E190.</t>
  </si>
  <si>
    <t>NVDA live P/E FY1 (Comps!S5) vs cited price ÷ cited street FY1 EPS (Raw_Data I171 / P171), ±0.01</t>
  </si>
  <si>
    <t>Wiring check: Comps!S5 must equal the two cited facts it is built from.</t>
  </si>
  <si>
    <t>Peer rows = 8 and P/E FY1 n = 8</t>
  </si>
  <si>
    <t>Exact counts over the comps sample layout: peer ticker rows Comps!B6:B10 (cluster A = 5, target NVDA row 5 excluded) + Comps!B15:B17 (cluster B = 3); P/E FY1 numerics Comps!S6:S10 + S15:S17.</t>
  </si>
  <si>
    <t>Outcome tallies sum to 38 closed quarters</t>
  </si>
  <si>
    <t>Exact tally (live COUNTIF over the 39-quarter ledger's outcome rows: revenue B13 / non-GAAP GM B19 / GAAP GM B23, closed quarters B..AM; the open Q3-FY27 quarter is unscored).</t>
  </si>
  <si>
    <t>Model Q3FY27E revenue (IS!L7) inside the open guide band (Guidance!B65:D65)</t>
  </si>
  <si>
    <t>Guide-band check mirrored from the Guidance tab (model Q3FY27E revenue inside the open guide band).</t>
  </si>
  <si>
    <t>NON-GAAP FOOT CHECKS (IS adjusted lines vs the as-disclosed Raw_Data reconciliation, historical periods; tolerance col AB, status col AC; sources: earnings-release EX-99.x)</t>
  </si>
  <si>
    <t>Nongaap-gp: adjusted gross profit − as-disclosed (both vintages)</t>
  </si>
  <si>
    <t>Tolerance 0.6 $M (GP/OI/NI/FCF; exact-foot basis) / 0.01 $ (EPS: as-disclosed prints are cents-rounded — max computed delta 0.005). Per-column vintage map: D/E/H = original vintage only; F/G/I = both vintages (each footed); J/K = FY2027 vintage only; B/C = never disclosed (blank); W/X = original-vintage fiscal years (Raw_Data Q/R).</t>
  </si>
  <si>
    <t>Nongaap-oi: adjusted operating income − as-disclosed (both vintages)</t>
  </si>
  <si>
    <t>Nongaap-ni: adjusted net income − as-disclosed (both vintages)</t>
  </si>
  <si>
    <t>Nongaap-eps: adjusted diluted EPS − as-disclosed (both vintages)</t>
  </si>
  <si>
    <t>Nongaap-fcf: free cash flow − (CFO + purchases + principal payments), reconciliation-print basis (both vintages)</t>
  </si>
  <si>
    <t>FCF bridge on the press-release reconciliation print (Raw_Data rows 126-129 / 148-151; the PR CFO/purchases prints can differ ±2 from the 10-Q face — reconciliation basis). Tolerance 0.6 $M (GP/OI/NI/FCF; exact-foot basis) / 0.01 $ (EPS: as-disclosed prints are cents-rounded — max computed delta 0.005). Per-column vintage map: D/E/H = original vintage only; F/G/I = both vintages (each footed); J/K = FY2027 vintage only; B/C = never disclosed (blank); W/X = original-vintage fiscal years (Raw_Data Q/R).</t>
  </si>
  <si>
    <t>Guidance: FY28E revenue growth − anchor (Assumptions AA74, management guide)</t>
  </si>
  <si>
    <t>FY28 revenue must sit within ±0.5pp of the anchored growth.</t>
  </si>
  <si>
    <t>Phasing: FY28 and FY29 quarterly phasing each sum to 100%</t>
  </si>
  <si>
    <t>FY28 and FY29 quarterly phasing must each sum to 100% (Assumptions r76).</t>
  </si>
  <si>
    <t>Raw_Data comps fact block E349:K357 — all numeric except declared text n.a. (INTC F351)</t>
  </si>
  <si>
    <t>Type guard: the 63-cell block (9 issuers × 7 fields) must hold 62 numeric values; INTC P/E (last FY) stays declared text n.a. Catches string-typed numbers in this block (a text-typed value would silently drop an issuer from the OM/ROE/NI/capex/FCF aggregates).</t>
  </si>
  <si>
    <t>Discounted Cash Flow — FCFF intrinsic valuation</t>
  </si>
  <si>
    <t>NVIDIA CORP (NVDA) — CIK 0001045810 — DCF extension of the driver-led three-statement model</t>
  </si>
  <si>
    <t>US GAAP | USD millions | FYE late January (52/53-week) | valuation date 2026-10-08 | price basis 230.48 USD (2026-10-08)</t>
  </si>
  <si>
    <t>Periods: explicit = valuation-date remaining FY2027E stub (2026-10-09–2027-01-31; Q3 × 17/91 + Q4 full) + FY2028E / FY2029E (workbook annual columns Z/AA); P4–P10 = declared fade, NOT a model forecast. Mid-period discounting; cash flows through 2026-10-08 are included in the estimated net-cash bridge, not in P1.</t>
  </si>
  <si>
    <t>NOTE: this DCF is a REFERENCE only. The target price is P/E-based (Valuation §F, 20x FY28E EPS). Use the DCF for scenario / sensitivity work (§E, §F, §H), not to set the target.</t>
  </si>
  <si>
    <t>Section A — WACC build-up (retrieved inputs carry source + retrieval date; ERP/SP/CSRP are cited research assumptions)</t>
  </si>
  <si>
    <t>Valuation date</t>
  </si>
  <si>
    <t>Declared input; price as-of 2026-10-08 (Yahoo Finance quote, 2026-10-08)</t>
  </si>
  <si>
    <t>Risk-free rate — 10Y UST par yield</t>
  </si>
  <si>
    <t>treasury.gov daily par yield curve, 10Y = 5.22% at 2026-10-08</t>
  </si>
  <si>
    <t>Levered beta (100 weekly closes / 99 returns, vs S&amp;P 500)</t>
  </si>
  <si>
    <t>Yahoo weekly closes (2026-10-09) — computed: cov/var of 100 weekly closes (99 log returns) on Yahoo adj-close NVDA vs ^GSPC, 2024-11-11→2026-10-05 (last bar = the 10-05 week through the 10-08 close), corr 0.68; cross-check published betas ~1.7–2.1</t>
  </si>
  <si>
    <t>Equity risk premium (implied, S&amp;P 500)</t>
  </si>
  <si>
    <t>Damodaran implied ERP (Jan-2026) — Damodaran implied ERP at start of Jan-2026 = 4.23% (Data Update 2 for 2026 + ERPJan26.xlsx); research assumption, not live market data</t>
  </si>
  <si>
    <t>Size premium (SP)</t>
  </si>
  <si>
    <t>Research assumption — mega-cap (~$5.4T market cap): no size premium</t>
  </si>
  <si>
    <t>Company-specific risk premium (CSRP)</t>
  </si>
  <si>
    <t>Analyst judgment — none; thesis risk is carried in Section E scenarios, not in the discount rate</t>
  </si>
  <si>
    <t>Cost of equity Ke = Rf + β_used×ERP + SP + CSRP (β_used per switch B27)</t>
  </si>
  <si>
    <t>Pre-tax cost of debt Kd (blended, annualized)</t>
  </si>
  <si>
    <t>Assumptions r38 = 1.2%/q blended on $33.4B stack ($24.9B H1FY27 issuance + legacy; from filings) ×4</t>
  </si>
  <si>
    <t>Tax rate (forecast)</t>
  </si>
  <si>
    <t>Tax for WACC = Assumptions r40 (Q3FY27 input) = 18.0%, inside the FY27 guided 16–18% band.</t>
  </si>
  <si>
    <t>After-tax Kd = Kd×(1−t)</t>
  </si>
  <si>
    <t>Tax shield explicit</t>
  </si>
  <si>
    <t>Interest-bearing debt (estimated as of 2026-10-08)</t>
  </si>
  <si>
    <t>Debt held flat from Q2FY27A to the valuation date; no issuance or repayment modeled.</t>
  </si>
  <si>
    <t>Equity market value (price × estimated diluted WASO as of 2026-10-08)</t>
  </si>
  <si>
    <t>Price Raw_Data!I171 (230.48, 2026-10-08) × estimated diluted WASO B70.</t>
  </si>
  <si>
    <t>Weight E = E/(D+E)</t>
  </si>
  <si>
    <t>Market-value weights</t>
  </si>
  <si>
    <t>Weight D = D/(D+E)</t>
  </si>
  <si>
    <t>Suggested WACC</t>
  </si>
  <si>
    <t>Computed</t>
  </si>
  <si>
    <t>Chosen WACC (the DCF input)</t>
  </si>
  <si>
    <t>No override — references suggested; all discount factors link this cell; override only with a rationale note here</t>
  </si>
  <si>
    <t>Chosen − suggested delta (0 unless override)</t>
  </si>
  <si>
    <t>Suggested-vs-chosen delta stays visible</t>
  </si>
  <si>
    <t>Terminal growth g (base)</t>
  </si>
  <si>
    <t>Analyst assumption ≈ long-run nominal GDP growth</t>
  </si>
  <si>
    <t>Exit EV/EBITDA multiple (base, cross-check)</t>
  </si>
  <si>
    <t>Analyst assumption — NVDA forward EV/EBITDA history vs profitable mega-cap platform peers; Gordon implied multiple shown at B57</t>
  </si>
  <si>
    <t>Fade start growth (P4 FCFF, FY2030E)</t>
  </si>
  <si>
    <t>Calibrated to the discontinued FY30E path ≈ +25% YoY, decelerating; linear fade to terminal g by P10 (row 39)</t>
  </si>
  <si>
    <t>Beta adjustment switch (1 = Blume-adjusted 0.67×raw + 0.33; 0 = raw regression beta)</t>
  </si>
  <si>
    <t>0 = raw 2-year weekly regression β 1.83 (default). 1 = Blume adjustment (0.67×raw + 0.33, the Bloomberg "adjusted beta" convention) as a sensitivity</t>
  </si>
  <si>
    <t>Section B — Unlevered FCF: explicit fiscal-year periods (linked to IS/CF) + declared fade (P4–P10)</t>
  </si>
  <si>
    <t>Period</t>
  </si>
  <si>
    <t>P1</t>
  </si>
  <si>
    <t>P2</t>
  </si>
  <si>
    <t>P3</t>
  </si>
  <si>
    <t>P4</t>
  </si>
  <si>
    <t>P5</t>
  </si>
  <si>
    <t>P6</t>
  </si>
  <si>
    <t>P7</t>
  </si>
  <si>
    <t>P8</t>
  </si>
  <si>
    <t>P9</t>
  </si>
  <si>
    <t>P10</t>
  </si>
  <si>
    <t>Period label</t>
  </si>
  <si>
    <t>Remaining FY2027E (2026-10-09–2027-01-31)</t>
  </si>
  <si>
    <t>FY2030E (fade)</t>
  </si>
  <si>
    <t>FY2031E (fade)</t>
  </si>
  <si>
    <t>FY2032E (fade)</t>
  </si>
  <si>
    <t>FY2033E (fade)</t>
  </si>
  <si>
    <t>FY2034E (fade)</t>
  </si>
  <si>
    <t>FY2035E (fade)</t>
  </si>
  <si>
    <t>FY2036E (fade)</t>
  </si>
  <si>
    <t>P1–P3 ends = the statement tabs’ fiscal-year ends (IS!Y4/Z4/AA4 = 2027-01-31/2028-01-30/2029-01-28); fade-period ends are synthetic EDATE +12M (declared)</t>
  </si>
  <si>
    <t>Estimated remaining cash flows: Q3 × B130 + Q4 full; day allocation as of 2026-10-08</t>
  </si>
  <si>
    <t>Model FY sum</t>
  </si>
  <si>
    <t>Fade (declared)</t>
  </si>
  <si>
    <t>Midpoint years from valuation date (t)</t>
  </si>
  <si>
    <t>Mid-period convention; P1 = remaining stub (2026-10-09–2027-01-31), t = remaining days / 2 / 365.25. Elapsed cash flows through 2026-10-08 sit in the estimated net-cash bridge, not in P1.</t>
  </si>
  <si>
    <t>Net cash from operations (CF r16)</t>
  </si>
  <si>
    <t>CFO includes interest income on the cash+securities pile; row 36 excludes its after-tax value. Elapsed Q3 cash flows are in the estimated net-cash bridge; only remaining Q3/Q4 cash flows enter P1. Strategic equity investments and acquisitions are investing flows outside FCFF: Hugging Face is deducted in the bridge (r67); committed equity investments are value-neutral at cost.</t>
  </si>
  <si>
    <t>(+) After-tax interest expense (−IS r17 × (1−t))</t>
  </si>
  <si>
    <t>(−) After-tax interest income (−IS r16 × (1−t))</t>
  </si>
  <si>
    <t>(−) Capex incl. intangibles (CF r17)</t>
  </si>
  <si>
    <t>FCFF — explicit periods</t>
  </si>
  <si>
    <t>Fade periods built row-by-row off the same g_k path; F40:L40 = F38:L38.</t>
  </si>
  <si>
    <t>Fade growth g_k (linear: start → terminal g)</t>
  </si>
  <si>
    <t>Declared fade path off B26/B24 — DCF-level extrapolation, not a parallel statement forecast; fade periods inherit the after-tax-interest-income exclusion through the P3 base (same convention)</t>
  </si>
  <si>
    <t>FCFF (discounted series)</t>
  </si>
  <si>
    <t>Discount factor @ chosen WACC</t>
  </si>
  <si>
    <t>PV of FCFF</t>
  </si>
  <si>
    <t>EBITDA (OI + D&amp;A; fade grows with FCFF path)</t>
  </si>
  <si>
    <t>Fade-period EBITDA scales with the FCFF path (declared approximation; used only for the exit-multiple cross-check)</t>
  </si>
  <si>
    <t>Memo: FCFF growth %</t>
  </si>
  <si>
    <t>Section C — Terminal value and enterprise value (Gordon base; exit-multiple cross-check)</t>
  </si>
  <si>
    <t>PV of P1–P10 FCFF</t>
  </si>
  <si>
    <t>Sum of row 42</t>
  </si>
  <si>
    <t>Terminal-year FCFF (P10)</t>
  </si>
  <si>
    <t>TV — Gordon = FCFF₁₀×(1+g)/(WACC−g)</t>
  </si>
  <si>
    <t>Links chosen WACC B22 and g B24</t>
  </si>
  <si>
    <t>Years to P10 end (TV discounting)</t>
  </si>
  <si>
    <t>TV lands at period end</t>
  </si>
  <si>
    <t>PV of TV (Gordon)</t>
  </si>
  <si>
    <t>Enterprise value (Gordon)</t>
  </si>
  <si>
    <t>TV share of EV (Gordon)</t>
  </si>
  <si>
    <t>Terminal-value share of enterprise value; elevated values indicate greater reliance on terminal assumptions.</t>
  </si>
  <si>
    <t>Terminal-year EBITDA (P10)</t>
  </si>
  <si>
    <t>TV — exit multiple = EBITDA₁₀ × mult</t>
  </si>
  <si>
    <t>PV of TV (exit)</t>
  </si>
  <si>
    <t>Implied exit multiple from Gordon TV</t>
  </si>
  <si>
    <t>Gordon TV restated as an EV/EBITDA multiple — compare with B25</t>
  </si>
  <si>
    <t>Enterprise value (exit cross-check)</t>
  </si>
  <si>
    <t>TV share of EV (exit)</t>
  </si>
  <si>
    <t>Section D — EV → equity → per share (vs price and consensus TP)</t>
  </si>
  <si>
    <t>Enterprise value (Gordon, base)</t>
  </si>
  <si>
    <t>(+) Cash and cash equivalents (estimated as of 2026-10-08)</t>
  </si>
  <si>
    <t>BS!K7 + elapsed full cash flow (CFO + CFI + CFF + FX) × B129; estimated day allocation, not a reported balance.</t>
  </si>
  <si>
    <t>(+) Marketable securities (estimated as of 2026-10-08)</t>
  </si>
  <si>
    <t>BS!K8 + net purchases of marketable securities × B129; no fair-value remeasurement.</t>
  </si>
  <si>
    <t>(+) Non-marketable securities (estimated carrying value as of 2026-10-08)</t>
  </si>
  <si>
    <t>Raw_Data!K369 + committed equity investments funded × B129, at cost; no fair-value remeasurement.</t>
  </si>
  <si>
    <t>(−) Total debt (estimated as of 2026-10-08)</t>
  </si>
  <si>
    <t>No Q3 debt issuance or repayment modeled through 2026-10-08; balance held at BS!K23 + BS!K25.</t>
  </si>
  <si>
    <t>(−) Pending acquisition cash consideration (Hugging Face)</t>
  </si>
  <si>
    <t>Pending as of 2026-10-08; close assumed 1H CY27 (HSBC 9339262). Its cash flows are not in FCFF, so the price is deducted (value-neutral only if bought at fair value). The $25B committed equity investments are value-neutral in this bridge (cash becomes an investment at cost) and are not deducted; the $108.5B guarantees are contingent — see §H S1.</t>
  </si>
  <si>
    <t>Net cash + securities − pending acquisition (estimated as of 2026-10-08; memo — used by scenario/sensitivity formulas)</t>
  </si>
  <si>
    <t>Equity value</t>
  </si>
  <si>
    <t>Diluted WASO (estimated as of 2026-10-08, millions)</t>
  </si>
  <si>
    <t>Estimated diluted WASO = Q2FY27A actual − (Q3 buyback $ ÷ Q3 cost per share) × B129; interpolated estimate, not a reported share count.</t>
  </si>
  <si>
    <t>Per-share value (Gordon)</t>
  </si>
  <si>
    <t>Per-share value (exit-multiple cross-check)</t>
  </si>
  <si>
    <t>Share price (2026-10-08)</t>
  </si>
  <si>
    <t>Raw_Data!I171 (Yahoo Finance quote, 2026-10-08)</t>
  </si>
  <si>
    <t>Implied upside vs price (Gordon)</t>
  </si>
  <si>
    <t>Consensus TP mean (15-house sell-side tape; median 315; range 275–365)</t>
  </si>
  <si>
    <t>15-house sell-side research set (2026-10-09) (+ supplemental sell-side research (2026-09-28))</t>
  </si>
  <si>
    <t>Per-share (Gordon) vs consensus TP mean</t>
  </si>
  <si>
    <t>Section E — Scenarios (driver flexes: Data Center growth decay, gross margin; deltas documented in col M)</t>
  </si>
  <si>
    <t>Scenario</t>
  </si>
  <si>
    <t>FCFF mult (from GM flex, col J)</t>
  </si>
  <si>
    <t>Fade start g</t>
  </si>
  <si>
    <t>Terminal g</t>
  </si>
  <si>
    <t>Exit mult</t>
  </si>
  <si>
    <t>WACC Δ</t>
  </si>
  <si>
    <t>Per-share (Gordon)</t>
  </si>
  <si>
    <t>Per-share (exit)</t>
  </si>
  <si>
    <t>GM flex (ΔGM, input)</t>
  </si>
  <si>
    <t>Base</t>
  </si>
  <si>
    <t>Model as calibrated — GM walk 74.0% Q3FY27 → 71.5% Q4FY27 trough → 72.0–72.9% FY28 → 72.9% FY29; FY28 revenue on the +70% guide, FY29 +33.4%</t>
  </si>
  <si>
    <t>Bull</t>
  </si>
  <si>
    <t>GM +50bp sustained → FCFF × (1 + ΔGM × (1−t) × explicit revenue ÷ explicit FCFF) ≈ +0.9%; fade start 27%; g 3.5%; exit 16.0x</t>
  </si>
  <si>
    <t>Bear</t>
  </si>
  <si>
    <t>GM −300bp (China compute exclusion persists, competition, mix) → FCFF ≈ −5%; fade start 10%; +50bp WACC; exit 10.0x</t>
  </si>
  <si>
    <t>Helper: Base FCFF path</t>
  </si>
  <si>
    <t>Helper: Bull FCFF path</t>
  </si>
  <si>
    <t>Helper: Bear FCFF path</t>
  </si>
  <si>
    <t>Section F — Sensitivity (LIVE formulas; base FCFF path; per-share USD)</t>
  </si>
  <si>
    <t>Grid 1 — Gordon per-share: WACC × terminal g</t>
  </si>
  <si>
    <t>Helper: PV flows @WACC</t>
  </si>
  <si>
    <t>Grid 2 — exit-multiple per-share: WACC × EV/EBITDA</t>
  </si>
  <si>
    <t>WACC \ mult</t>
  </si>
  <si>
    <t>Section G — DCF checks and analyst read</t>
  </si>
  <si>
    <t>Check: chosen − suggested WACC delta</t>
  </si>
  <si>
    <t>Check: TV share of EV &lt; 75% (Gordon)</t>
  </si>
  <si>
    <t>Check: explicit FCFF (remaining P1) ties to model lines</t>
  </si>
  <si>
    <t>Or GM −300bp (China compute exclusion hardening / custom-silicon share loss). Falsifier: two consecutive guide-downs on DC or GM guide &lt;73%.</t>
  </si>
  <si>
    <t>Section H — Stress scenarios (informational, not in the Valuation blend)</t>
  </si>
  <si>
    <t>Financed share of revenue</t>
  </si>
  <si>
    <t>Share of financed demand lost</t>
  </si>
  <si>
    <t>Terminal FCFF margin (FY36)</t>
  </si>
  <si>
    <t>Tail loss after tax ($M)</t>
  </si>
  <si>
    <t>S1 — Financed-demand disruption from FY29</t>
  </si>
  <si>
    <t>S1: ~25% of FY28 sales come from frontier labs that need balance-sheet support (BofA 9307660); OpenAI + Anthropic ~20% of the business, ~25% in FY28 (JPM 9322112). Assumes half of that demand is lost from FY29 (FCFF −12.5% from P3 onward, judgment), growth fade starts at 15%, WACC +50bp, and the MS Credit tail-risk loss of ~$70B after tax (9339788) crystallises.</t>
  </si>
  <si>
    <t>S2 — Share erosion / FCFF-margin fade</t>
  </si>
  <si>
    <t>S2: GPU vs ASIC share of AI compute trends toward parity (JPM 9322112); BofA NVDA share 85% → ~72% by CY30 (9307660); AMD MI500 closing the gap (UBS 9311174). FCFF margin fades linearly from FY29 (~52%) to 44% by FY36 (judgment ≈ GM −750bp and opex +250bp of revenue); base growth fade kept.</t>
  </si>
  <si>
    <t>Helper: S1 FCFF path</t>
  </si>
  <si>
    <t>Helper: S2 FCFF path</t>
  </si>
  <si>
    <t>Section I — Valuation-date alignment (estimated as of 2026-10-08)</t>
  </si>
  <si>
    <t>Q3FY27 elapsed calendar days (2026-07-27 → 2026-10-08)</t>
  </si>
  <si>
    <t>Inclusive day-count convention; Q3FY27 starts after the Q2FY27 balance-sheet date.</t>
  </si>
  <si>
    <t>Q3FY27 total calendar days</t>
  </si>
  <si>
    <t>2026-07-27 → 2026-10-25, inclusive.</t>
  </si>
  <si>
    <t>Elapsed Q3 fraction</t>
  </si>
  <si>
    <t>Used only for the estimated net-cash roll-forward.</t>
  </si>
  <si>
    <t>Remaining Q3 fraction</t>
  </si>
  <si>
    <t>Used only for P1 remaining cash flows; equals 17/91.</t>
  </si>
  <si>
    <t>Remaining P1 calendar days (Q3 17 + Q4 98)</t>
  </si>
  <si>
    <t>2026-10-09 → 2027-01-31; used for the remaining-period midpoint.</t>
  </si>
  <si>
    <t>Check: elapsed + remaining Q3 fractions = 100%</t>
  </si>
  <si>
    <t>Check: CFO elapsed + remaining = original H2</t>
  </si>
  <si>
    <t>Check: after-tax interest expense elapsed + remaining = original H2</t>
  </si>
  <si>
    <t>Check: after-tax interest income elapsed + remaining = original H2</t>
  </si>
  <si>
    <t>Check: capex elapsed + remaining = original H2</t>
  </si>
  <si>
    <t>Check: valuation date / P1 timing alignment</t>
  </si>
  <si>
    <t>Check: estimated net-cash roll-forward arithmetic</t>
  </si>
  <si>
    <t>Valuation Summary — football field, weighting &amp; concluded fair value</t>
  </si>
  <si>
    <t>NVIDIA CORP (NVDA) — CIK 0001045810 — summary of the driver-led three-statement model + DCF extension</t>
  </si>
  <si>
    <t>Citation semantics: black = live link into this workbook (DCF/IS/Cover) or calculated; blue = cited external value (source id in col E, as-of 2026-10-08, evidence cited); amber = declared input; grey = notes.</t>
  </si>
  <si>
    <t>Section A — Method × per-share value (live-linked or cited; multiples carry x)</t>
  </si>
  <si>
    <t>Source / link</t>
  </si>
  <si>
    <t>DCF — Gordon growth (base)</t>
  </si>
  <si>
    <t>DCF tab (live)</t>
  </si>
  <si>
    <t>DCF — Gordon (bull)</t>
  </si>
  <si>
    <t>GM +50bp, fade start 27%, g 3.5%</t>
  </si>
  <si>
    <t>DCF tab §E (live)</t>
  </si>
  <si>
    <t>DCF — Gordon (bear)</t>
  </si>
  <si>
    <t>GM −300bp, fade start 10%, g 2.5%, WACC +50bp</t>
  </si>
  <si>
    <t>DCF — exit-multiple cross-check</t>
  </si>
  <si>
    <t>P10 EBITDA × 14.0x</t>
  </si>
  <si>
    <t>Cross-check anchor; bounds the top of the fair band</t>
  </si>
  <si>
    <t>Comps — cluster-A median FY1 P/E implied</t>
  </si>
  <si>
    <t>Live: cluster-A median FY1 P/E (90.1x at 2026-10-08) × FY27E non-GAAP EPS 9.31</t>
  </si>
  <si>
    <t>Comps tab implied-value block (live)</t>
  </si>
  <si>
    <t>Peers' FY1 denominators trough/early-ramp (INTC 103.0x, AMD 96.5x, MRVL 90.1x — 2026-10-08 closes) — dispersion effect; cluster-A FY1 median equals MRVL alone (single-name read), weighted down in §C</t>
  </si>
  <si>
    <t>Comps — cluster-A median FY2 P/E implied</t>
  </si>
  <si>
    <t>Cluster-A median FY2 P/E (45.5x at 2026-10-08) × FY28E non-GAAP EPS 15.91</t>
  </si>
  <si>
    <t>Comps — all-8 median FY1 P/E implied</t>
  </si>
  <si>
    <t>All-8 median FY1 P/E (62.4x at 2026-10-08) × FY27E EPS 9.31</t>
  </si>
  <si>
    <t>Comps — all-8 median FY2 P/E implied</t>
  </si>
  <si>
    <t>All-8 median FY2 P/E (35.0x at 2026-10-08) × FY28E EPS 15.91</t>
  </si>
  <si>
    <t>Comps — all-8 median NTM P/E implied</t>
  </si>
  <si>
    <t>All-8 median NTM P/E (45.2x at 2026-10-08) × NTM EPS 11.91</t>
  </si>
  <si>
    <t>Comps — all-8 median P/B implied</t>
  </si>
  <si>
    <t>All-8 median P/B (13.4x at 2026-10-08) × BVPS 9.50 (Q2FY27A equity 228,984 ÷ 24.1bn sh)</t>
  </si>
  <si>
    <t>Same peer set spans −50% (P/B) to +240% (P/E) — denominator sensitivity flagged; cluster-A median implies 112.75</t>
  </si>
  <si>
    <t>Comps — all-8 median EV/Sales (TTM) implied</t>
  </si>
  <si>
    <t>All-8 median EV/Sales TTM (23.2609x at 2026-10-08) × NVDA TTM revenue 303.0bn through Q2FY27A, net cash 23.2bn added</t>
  </si>
  <si>
    <t>comparable-company analysis (2026-10-09)</t>
  </si>
  <si>
    <t>Illustrative NVDA TTM bridge holding the all-8 median constant; peer TTM denominators were not collected. Net-cash basis excludes the 42.8B marketable equity stakes and 51.2B non-marketable securities — the DCF bridge includes both (DCF!B67)</t>
  </si>
  <si>
    <t>Street TP — mean (n=15, sell-side tape)</t>
  </si>
  <si>
    <t>15-house sell-side research set (11 post-print + 4 pre-print), mean of named TPs; Citi &amp; HSBC 2026-09-28 flashes maintained $315/$365 (supplemental sell-side research (2026-09-28)); cross-checks: vcpscanner mean 338.96 (10-06, n=79) · Zacks 328.66 · Public 329.78 (10-08)</t>
  </si>
  <si>
    <t>15-house sell-side research set (2026-10-09)</t>
  </si>
  <si>
    <t>Street TP — low (min)</t>
  </si>
  <si>
    <t>Sell-side tape low — TD Cowen 275 (2026-08-27)</t>
  </si>
  <si>
    <t>Street TP — high (max)</t>
  </si>
  <si>
    <t>Sell-side tape high — HSBC 365 (maintained in the 2026-09-28 flash)</t>
  </si>
  <si>
    <t>Current price</t>
  </si>
  <si>
    <t>Nasdaq close 2026-10-08 (Yahoo Finance daily closes)</t>
  </si>
  <si>
    <t>Yahoo Finance quote, 2026-10-08</t>
  </si>
  <si>
    <t>Reference for every vs-price delta on this tab</t>
  </si>
  <si>
    <t>Section B — Ranges (low–high by method family)</t>
  </si>
  <si>
    <t>Method family</t>
  </si>
  <si>
    <t>Bounded by</t>
  </si>
  <si>
    <t>DCF family</t>
  </si>
  <si>
    <t>Gordon bear ↔ exit cross-check</t>
  </si>
  <si>
    <t>Spans the declared scenario + terminal-method space</t>
  </si>
  <si>
    <t>Comps P/E-implied family</t>
  </si>
  <si>
    <t>All-8 NTM ↔ cluster-A FY1</t>
  </si>
  <si>
    <t>The width of this band is the dispersion caveat itself</t>
  </si>
  <si>
    <t>Comps asset/sales family</t>
  </si>
  <si>
    <t>P/B ↔ EV/Sales TTM</t>
  </si>
  <si>
    <t>Street TP tape</t>
  </si>
  <si>
    <t>Min ↔ max of n=15</t>
  </si>
  <si>
    <t>Overall fair-value band (street TP interquartile range)</t>
  </si>
  <si>
    <t>Fall-in-consensus band: 25th–75th percentile of the 15-house TP tape</t>
  </si>
  <si>
    <t>DCF family (row 27) and comps families are shown for reference only</t>
  </si>
  <si>
    <t>Section C — Weighting &amp; concluded value (weights = declared inputs, amber; every formula live)</t>
  </si>
  <si>
    <t>Method / family</t>
  </si>
  <si>
    <t>Weight</t>
  </si>
  <si>
    <t>Contribution</t>
  </si>
  <si>
    <t>Rationale (one line)</t>
  </si>
  <si>
    <t>P/E — 20x FY28E EPS (target price, §F)</t>
  </si>
  <si>
    <t>The target price: street-median multiple on our own EPS (P/E-based, fall within consensus)</t>
  </si>
  <si>
    <t>DCF — Gordon base (reference only)</t>
  </si>
  <si>
    <t>Reference only (weight 0): DCF is too sensitive to the terminal declaration and β to anchor a target (TV ≈ half of EV)</t>
  </si>
  <si>
    <t>Street TP — mean</t>
  </si>
  <si>
    <t>Reference only (weight 0): street TP mean is the market's view — shown for comparison</t>
  </si>
  <si>
    <t>Comps — P/E-implied family (avg of 5)</t>
  </si>
  <si>
    <t>Reference only (weight 0): peer-median P/E on trough denominators is a dispersion effect</t>
  </si>
  <si>
    <t>Comps — EV/Sales (TTM)</t>
  </si>
  <si>
    <t>Reference only (weight 0): backward-looking TTM denominator under a +70% FY28 ramp (management guide)</t>
  </si>
  <si>
    <t>Comps — P/B</t>
  </si>
  <si>
    <t>Reference only (weight 0): weakest anchor for an asset-light IP compounder</t>
  </si>
  <si>
    <t>Weights sum (must equal 100.0%)</t>
  </si>
  <si>
    <t>Checked in §E</t>
  </si>
  <si>
    <t>Target price per share (P/E-based)</t>
  </si>
  <si>
    <t>Valuation §F: 20x × FY28E EPS, rounded to $5</t>
  </si>
  <si>
    <t>Section D — Cross-checks (live off the model’s own EPS / revenue)</t>
  </si>
  <si>
    <t>Implied P/E on FY2027 model EPS at concluded</t>
  </si>
  <si>
    <t>Vs all-8 FY1 median 62.4x</t>
  </si>
  <si>
    <t>Implied P/E on FY2028 model EPS at concluded</t>
  </si>
  <si>
    <t>Vs all-8 FY2 median 35.0x</t>
  </si>
  <si>
    <t>Implied EV/Sales (FY2026A) at concluded</t>
  </si>
  <si>
    <t>Vs all-8 EV/Sales median 23.3x</t>
  </si>
  <si>
    <t>EV = concluded equity × 24,285M WASO − 105,260 net cash &amp; investments (DCF!B68 bridge: cash + securities + unlisted − debt − HF consideration); revenue = IS!X7 (FY2026A, 215,938)</t>
  </si>
  <si>
    <t>DCF base vs street TP mean</t>
  </si>
  <si>
    <t>Concluded vs street TP mean</t>
  </si>
  <si>
    <t>Concluded vs DCF Gordon base</t>
  </si>
  <si>
    <t>Section E — Checks &amp; notes</t>
  </si>
  <si>
    <t>Check: weights sum = 100.0%</t>
  </si>
  <si>
    <t>Check: target price inside the street TP interquartile range (§B)</t>
  </si>
  <si>
    <t>Dispersion caveat (comparable-company analysis (2026-10-09)): peers' FY1 denominators are trough/early-ramp while NVDA's already capitalizes the AI ramp — mechanical peer-median P/E bridges are a dispersion effect; they carry zero weight. The target multiple is taken from the three bulge-bracket houses' own NVDA TPs instead.</t>
  </si>
  <si>
    <t>EPS bridge: street EPS is non-GAAP; the model is GAAP with zero future securities gains — under the FY27 non-GAAP vintage the bases are ≈ comparable (the H1FY27 wedge is realized gains only, not forecast; see the IS NON-GAAP (COMPANY-DEFINED) section rows 39-55 and Raw_Data rows 106-158). Comps bridges use the street non-GAAP EPS.</t>
  </si>
  <si>
    <t>Weighting note: the target price is P/E-based — the median multiple implied by GS / MS / JPM (~20x) applied to our FY28E EPS — so it falls within the street consensus range by construction. DCF, street TP mean, peer P/E, EV/S and P/B are references with zero weight. Sensitivity: each ±2x on the multiple ≈ ±$31.7/sh (row 79).</t>
  </si>
  <si>
    <t>This tab summarizes — it drives nothing: every number is a live link, a cited constant, or a declared weight. Security-thesis read, not a transact instruction.</t>
  </si>
  <si>
    <t>Section F — Target price: P/E-based, set to fall within the street consensus range. DCF is reference only.</t>
  </si>
  <si>
    <t>FY28E diluted EPS (model, IS!Z33)</t>
  </si>
  <si>
    <t>FY28 = CY27; FY28 revenue anchored to the +70% management guide; ≈ JPM $15.87, between MS $15.01 and GS $16.70</t>
  </si>
  <si>
    <t>Target P/E on FY28E EPS (x)</t>
  </si>
  <si>
    <t>Declared input = median of the multiples implied by GS / MS / JPM post-print TPs on their own FY28E EPS (row 73); MS and JPM both state ~20x in their PT basis</t>
  </si>
  <si>
    <t>P/E-implied value per share</t>
  </si>
  <si>
    <t>Target price (rounded to $5)</t>
  </si>
  <si>
    <t>Upside vs price</t>
  </si>
  <si>
    <t>Street reference (post-print)</t>
  </si>
  <si>
    <t>TP ($)</t>
  </si>
  <si>
    <t>FY28E EPS ($)</t>
  </si>
  <si>
    <t>Implied P/E</t>
  </si>
  <si>
    <t>Source</t>
  </si>
  <si>
    <t>Goldman Sachs</t>
  </si>
  <si>
    <t>GS 9285790: 30x normalized EPS $10.00</t>
  </si>
  <si>
    <t>Morgan Stanley</t>
  </si>
  <si>
    <t>MS 9330333: ~20x CY27 EPS $15.01</t>
  </si>
  <si>
    <t>JPMorgan</t>
  </si>
  <si>
    <t>JPM 9322112: ~20x EPS $15.87 (printed as "CY26 EPS")</t>
  </si>
  <si>
    <t>Median implied P/E (GS / MS / JPM)</t>
  </si>
  <si>
    <t>Street TP tape (15 houses, Raw_Data E176:E190): 25th pct / median / 75th pct</t>
  </si>
  <si>
    <t>15-house sell-side research set (2026-10-09) tape (11 post-print + 4 pre-print); Citi &amp; HSBC 2026-09-28 flashes maintained TPs ($315 / $365 — supplemental sell-side research (2026-09-28)); the target price should sit inside this band</t>
  </si>
  <si>
    <t>Market multiple: price ÷ model FY28E EPS</t>
  </si>
  <si>
    <t>Large-cap peer FY2 P/E: AVGO / TSM (Comps)</t>
  </si>
  <si>
    <t>Sensitivity — target P/E (x)</t>
  </si>
  <si>
    <t>Value per share at that multiple</t>
  </si>
  <si>
    <t>Raw_Data - frozen source facts (constants only; fill the blue cells from filings)</t>
  </si>
  <si>
    <t>Source ID</t>
  </si>
  <si>
    <t>Locator / note</t>
  </si>
  <si>
    <t>Light-blue cells = fill from filings (constants only; no formulas on this sheet)</t>
  </si>
  <si>
    <t>CONSOLIDATED INCOME STATEMENT (as reported)</t>
  </si>
  <si>
    <t>Source: 10-Q/10-K consolidated statements of income, each quarter</t>
  </si>
  <si>
    <t>EDGAR XBRL companyfacts API</t>
  </si>
  <si>
    <t>As filed. accn B–K: 24-000124, 24-000264, 25-000230, 26-000021(d), 26-000052, 26-000075, 25-000230, 26-000021(d), 26-000052, 26-000075</t>
  </si>
  <si>
    <t>Positive cost as filed. accn B–K: 24-000124, 24-000264, 25-000230, 26-000021(d), 26-000052, 26-000075, 25-000230, 26-000021(d), 26-000052, 26-000075</t>
  </si>
  <si>
    <t>Research and development expense</t>
  </si>
  <si>
    <t>Selling, general and administrative expense</t>
  </si>
  <si>
    <t>Acquisition termination and other one-time costs</t>
  </si>
  <si>
    <t>No acquisition-termination or one-time line disclosed in any grid quarter; 0 by presentation convention.</t>
  </si>
  <si>
    <t>Signed; 'other, net' INCLUDING gains (losses) on investments, so rows 15–17 sum to the reported non-operating subtotal (FY27-era single 'Other income, net' face = that subtotal). Compositions: Q2FY26 2,236 = -11 + 2,247 gains; Q1FY27 15,929 (incl. 15,936 gains); Q2FY27 7,504 = -267 + 7,771 gains. Latest presentation kept.</t>
  </si>
  <si>
    <t>As filed. accn B–K: 24-000124, 24-000264, 25-000230, 26-000036(d), 26-000052, 26-000075, 25-000230, 26-000036(d), 26-000052, 26-000075</t>
  </si>
  <si>
    <t>EDGAR XBRL companyfacts API; Q4FY25 earnings release EX-99.1; Q4FY26 earnings release EX-99.1</t>
  </si>
  <si>
    <t>B (Q1FY25) = post-split re-presentation (Q1FY26 10-Q comparative, accn 25-000116; the original Q1FY25 10-Q face was pre-split). millions; XBRL raw shares /1e6; Q4 from press-release reconciliation (XBRL Q4 WASO not additive).</t>
  </si>
  <si>
    <t>B (Q1FY25) = post-split re-presentation (accn 25-000116 comparative). millions; XBRL raw shares /1e6; Q4 from press-release reconciliation (24,706 / 24,432).</t>
  </si>
  <si>
    <t>EPS - basic (as reported)</t>
  </si>
  <si>
    <t>B (Q1FY25) = post-split re-presentation (accn 25-000116 comparative: 0.60). per-share as originally reported each quarter; Q4 from that quarter's press release; 10-for-1 split (Jun 2024) fully retroactive.</t>
  </si>
  <si>
    <t>EPS - diluted (as reported)</t>
  </si>
  <si>
    <t>B (Q1FY25) = post-split re-presentation (accn 25-000116 comparative: 0.60). per-share as originally reported each quarter; Q4 from that quarter's press release; post-split basis.</t>
  </si>
  <si>
    <t>CONSOLIDATED BALANCE SHEET (period end)</t>
  </si>
  <si>
    <t>Source: 10-Q/10-K consolidated balance sheets, each quarter end</t>
  </si>
  <si>
    <t>As filed. accn B–K: 24-000124, 24-000264, 24-000316, 26-000021, 25-000116, 25-000209, 25-000230, 26-000075, 26-000052, 26-000075</t>
  </si>
  <si>
    <t>EDGAR accession 0001045810-26-000021; EDGAR XBRL companyfacts API</t>
  </si>
  <si>
    <t>Current marketable securities. B–I combined-face era (B–H as-filed legacy face; I = 51,951 FY26 10-K combined face, company extension tag, balance-sheet face supplement); J–K = FY27-era face split (marketable debt + marketable equity: 37,098+30,237 / 34,143+42,783). B–C (Q1/Q2FY25) as filed accn 24-000124 / 24-000264.</t>
  </si>
  <si>
    <t>EDGAR accession 0001045810-26-000052; EDGAR accession 0001045810-26-000075; EDGAR XBRL companyfacts API</t>
  </si>
  <si>
    <t>Non-marketable equity securities included in every era, basis following the face: B–C (Q1/Q2FY25, accn 24-000124 / 24-000264) and D,F–H as-filed "Other assets" (equity securities bundled per then-current presentation); E,I + "Equity securities (FV-NI), noncurrent" break-out (3,387 / 22,251); J,K + "Non-marketable securities" face line (43,364 / 51,157).</t>
  </si>
  <si>
    <t>EDGAR accession 0001045810-25-000116; EDGAR accession 0001045810-25-000209; EDGAR XBRL companyfacts API</t>
  </si>
  <si>
    <t>Current portion of debt; nil at 2025-04-27 and 2025-07-27 (face-verified, balance-sheet face supplement) shown as 0, not blank.</t>
  </si>
  <si>
    <t>Common stock (par value)</t>
  </si>
  <si>
    <t>Additional paid-in capital</t>
  </si>
  <si>
    <t>As filed. accn B–K: 24-000124, 24-000264, 25-000230, 26-000075, 26-000075, 26-000075, 25-000230, 26-000075, 26-000075, 26-000075</t>
  </si>
  <si>
    <t>Memo: Deferred revenue (current), within accrued</t>
  </si>
  <si>
    <t>B–C (Q1/Q2FY25): accn 24-000124 / 24-000264. memo only; deferred revenue (current) within accrued and other current liabilities (footnote-tagged).</t>
  </si>
  <si>
    <t>CONSOLIDATED CASH FLOW (as reported)</t>
  </si>
  <si>
    <t>Source: 10-Q/10-K consolidated statements of cash flows, each quarter</t>
  </si>
  <si>
    <t>CF starting line; equals IS net income. accn B–K: 24-000124, 24-000264, 25-000230, 26-000036(d), 26-000052, 26-000075, 25-000230, 26-000036(d), 26-000052, 26-000075</t>
  </si>
  <si>
    <t>As filed; single quarters derived for Q2–Q4 (YTD arithmetic, derived:true). accn B–K: 24-000124, 24-000264(d), 25-000230(d), 26-000021(d), 26-000052, 26-000075(d), 25-000230(d), 26-000021(d), 26-000052, 26-000075(d)</t>
  </si>
  <si>
    <t>Stock-based compensation expense</t>
  </si>
  <si>
    <t>CF basis, positive add-back. accn B–K: 24-000124, 24-000264(d), 25-000230(d), 26-000021(d), 26-000052, 26-000075(d), 25-000230(d), 26-000021(d), 26-000052, 26-000075(d)</t>
  </si>
  <si>
    <t>As filed; Q2/Q3/Q4 single quarters derived (6M-3M / 9M-6M / FY-9M). accn B–K: 24-000124, 24-000264(d), 25-000230(d), 26-000021(d), 26-000052, 26-000075(d), 25-000230(d), 26-000021(d), 26-000052, 26-000075(d)</t>
  </si>
  <si>
    <t>Positive outflow as filed (PP&amp;E + intangibles combined per NVDA tagging). accn B–K: 24-000124, 24-000264(d), 25-000230(d), 26-000021(d), 26-000052, 26-000075(d), 25-000230(d), 26-000021(d), 26-000052, 26-000075(d)</t>
  </si>
  <si>
    <t>Signed as filed; single quarters derived. accn B–K: 24-000124, 24-000264(d), 25-000230(d), 26-000021(d), 26-000052, 26-000075(d), 25-000230(d), 26-000021(d), 26-000052, 26-000075(d)</t>
  </si>
  <si>
    <t>Positive outflow as filed (cash measure). accn B–K: 24-000124, 24-000264(d), 25-000230(d), 26-000021(d), 26-000052, 26-000075(d), 25-000230(d), 26-000021(d), 26-000052, 26-000075(d)</t>
  </si>
  <si>
    <t>Positive outflow as filed. accn B–K: 24-000124, 24-000264(d), 25-000230(d), 26-000021(d), 26-000052, 26-000075(d), 25-000230(d), 26-000021(d), 26-000052, 26-000075(d)</t>
  </si>
  <si>
    <t>Payments of dividends</t>
  </si>
  <si>
    <t>Positive outflow as filed; Q2FY27 single-quarter = 6,047 = 6,290 (6M YTD) − 243 (Q1FY27). accn B–K: 24-000124, 24-000264, 24-000316, 26-000021(d), 26-000052, 26-000075, 25-000230(d), 26-000021(d), 26-000052, 26-000075 CF!23 is the financing residual; total CFF remains anchored to the reported −27,459 exactly.</t>
  </si>
  <si>
    <t>Signed as filed; includes $24.9B H1FY27 debt issuance. accn B–K: 24-000124, 24-000264(d), 25-000230(d), 26-000021(d), 26-000052, 26-000075(d), 25-000230(d), 26-000021(d), 26-000052, 26-000075(d)</t>
  </si>
  <si>
    <t>Net change in cash, cash equivalents and restricted cash</t>
  </si>
  <si>
    <t>As filed; single quarters derived. accn B–K: 24-000124, 24-000264(d), 25-000230(d), 26-000021(d), 26-000052, 26-000075(d), 25-000230(d), 26-000021(d), 26-000052, 26-000075(d)</t>
  </si>
  <si>
    <t>Cash, cash equivalents and restricted cash, end of period</t>
  </si>
  <si>
    <t>CF ending-cash line equals BS face cash (no material restricted cash in the grid); ties to BS cash in Checks row 8.</t>
  </si>
  <si>
    <t>SEGMENT DISCLOSURE - REVENUE BY MARKET PLATFORM</t>
  </si>
  <si>
    <t>Source: segment note, revenue-by-platform table, each quarter</t>
  </si>
  <si>
    <t>Data Center (FY27 = Hyperscale + AI Clouds, I&amp;E)</t>
  </si>
  <si>
    <t>EDGAR accession 0001045810-25-000209; EDGAR accession 0001045810-25-000116; EDGAR accession 0001045810-25-000230; EDGAR accession 0001045810-26-000021; EDGAR accession 0001045810-26-000052; EDGAR accession 0001045810-26-000075</t>
  </si>
  <si>
    <t>Old-structure Data Center platform B–G; H–I = supplemental Data Center disclosed with the new structure (= Hyperscale + AI Clouds, Industrial &amp; Enterprise exactly: 43,050+32,196 / 48,710+40,313). Continuous series, fully sourced.</t>
  </si>
  <si>
    <t>Gaming (to Q4FY26) / Edge Computing (from Q1FY27)</t>
  </si>
  <si>
    <t>EDGAR accession 0001045810-25-000116; EDGAR accession 0001045810-25-000209; EDGAR accession 0001045810-25-000230; EDGAR accession 0001045810-26-000021; EDGAR accession 0001045810-26-000052; EDGAR accession 0001045810-26-000075</t>
  </si>
  <si>
    <t>B–I Gaming (old market-platform structure, Q1FY25–Q4FY26). J–K Edge Computing (new structure; old Gaming detail not disclosed). Paired on one row so the platform view partitions revenue in every column (Checks row 11): a presentation bridge, NOT an economic succession; see Segment section F.</t>
  </si>
  <si>
    <t>Professional Visualization (old structure; ends Q4FY26)</t>
  </si>
  <si>
    <t>EDGAR accession 0001045810-25-000116; EDGAR accession 0001045810-25-000209; EDGAR accession 0001045810-25-000230; EDGAR accession 0001045810-26-000021</t>
  </si>
  <si>
    <t>Old market-platform structure; not disclosed from Q1FY27 (structure replaced; blank = not disclosed).</t>
  </si>
  <si>
    <t>Automotive (old structure; ends Q4FY26)</t>
  </si>
  <si>
    <t>OEM and Other (old structure; ends Q4FY26)</t>
  </si>
  <si>
    <t>Total</t>
  </si>
  <si>
    <t>Reported total; equals consolidated revenue (verified per column).</t>
  </si>
  <si>
    <t>SEGMENT DISCLOSURE - REPORTABLE SEGMENTS</t>
  </si>
  <si>
    <t>Source: segment note, reportable-segment table, each quarter</t>
  </si>
  <si>
    <t>As filed (segment note, all 8 quarters; Q4 derived FY-9M). accn B–K: 24-000124, 24-000264, 25-000230, 26-000021(d), 26-000052, 26-000075, 25-000230, 26-000021(d), 26-000052, 26-000075</t>
  </si>
  <si>
    <t>As filed (Q4 derived). accn B–K: 24-000124, 24-000264, 25-000230, 26-000021(d), 26-000052, 26-000075, 25-000230, 26-000021(d), 26-000052, 26-000075</t>
  </si>
  <si>
    <t>EDGAR accession 0001045810-25-000209; EDGAR accession 0001045810-24-000316; EDGAR accession 0001045810-25-000023; EDGAR accession 0001045810-25-000116</t>
  </si>
  <si>
    <t>Reconciling category; 0 in every quarter (tagged B–D; E–I = total - C&amp;N - Graphics = 0 exactly).</t>
  </si>
  <si>
    <t>Reported total; equals consolidated revenue. accn B–K: 24-000124, 24-000264, 25-000230, 26-000021(d), 26-000052, 26-000075, 25-000230, 26-000021(d), 26-000052, 26-000075</t>
  </si>
  <si>
    <t>Signed as filed where tagged (B–D); E–I derived = consolidated OI - segment OI (equals -(SBC+unallocated+acquisition-related) each quarter, verified).</t>
  </si>
  <si>
    <t>Reported total; equals IS operating income. accn B–K: 24-000124, 24-000264, 25-000230, 26-000021(d), 26-000052, 26-000075, 25-000230, 26-000021(d), 26-000052, 26-000075</t>
  </si>
  <si>
    <t>SEGMENT DISCLOSURE - SUPPLEMENTAL</t>
  </si>
  <si>
    <t>Source: segment note sub-disclosures; FY-1-only rows fill F-I (the FY-1 quarters)</t>
  </si>
  <si>
    <t>Data Center - Compute (FY26-era sub-disclosure)</t>
  </si>
  <si>
    <t>EDGAR accession 0001045810-24-000124; EDGAR accession 0001045810-24-000264; EDGAR accession 0001045810-24-000316; EDGAR accession 0001045810-25-000021; EDGAR accession 0001045810-25-000023; EDGAR accession 0001045810-25-000116; EDGAR accession 0001045810-25-000209; EDGAR accession 0001045810-25-000230; EDGAR accession 0001045810-26-000021; Q1FY27 earnings release EX-99.2</t>
  </si>
  <si>
    <t>Data Center - Compute sub-split: B–F = disclosed quarterly values through Q1FY26 (Q4FY25 = 32,556, also FY less 9M); H–I = FY26-era disclosure (43,028 / 51,334; Q3/Q4FY26 values from the FY26-era 10-Q segment tables); J = 60,400 cited from the Q1FY27 EX-99.2 CFO commentary ("Under the previous sub-markets, Data Center compute revenue was a record $60.4 billion"); K (Q2FY27) not disclosed (series ceased) — Segment r28 carries the residual there.</t>
  </si>
  <si>
    <t>Data Center - Networking (FY26-era sub-disclosure)</t>
  </si>
  <si>
    <t>Data Center - Networking sub-split: B–F = disclosed quarterly values through Q1FY26 (Q4FY25 = 3,024, also FY less 9M); H–I 8,187 / 10,980; J = 14,800 cited from the Q1FY27 EX-99.2 CFO commentary; K = 17,464 derived (not a filed $ figure): Q1 14,800 × (1 + 18%) — RBC 9335960 "Networking grew 18%", UBS 9311174 table 17,464, JPM 9317924 "no sequential change in networking share of revenue" (18.1% of total); Citi 9286390 says ~16% QoQ.</t>
  </si>
  <si>
    <t>Compute &amp; Networking D&amp;A</t>
  </si>
  <si>
    <t>EDGAR accession 0001045810-25-000209; EDGAR accession 0001045810-25-000116; EDGAR accession 0001045810-25-000230; EDGAR accession 0001045810-26-000052; EDGAR accession 0001045810-26-000075</t>
  </si>
  <si>
    <t>Segment-attributable D&amp;A where tagged (10-Q segment narratives); Q4s not tagged (blank = not disclosed).</t>
  </si>
  <si>
    <t>Graphics D&amp;A</t>
  </si>
  <si>
    <t>Segment-attributable D&amp;A where tagged; Q4s not tagged (blank = not disclosed).</t>
  </si>
  <si>
    <t>Compute &amp; Networking other segment items</t>
  </si>
  <si>
    <t>ASU 2023-07 'other segment items' per segment (signed; Q4 derived).</t>
  </si>
  <si>
    <t>Graphics other segment items</t>
  </si>
  <si>
    <t>ALL OTHER (CORPORATE) RECONCILING ITEMS</t>
  </si>
  <si>
    <t>Source: segment reconciliation, All Other column; negative as filed</t>
  </si>
  <si>
    <t>EDGAR accession 0001045810-24-000316; EDGAR accession 0001045810-25-000023; EDGAR accession 0001045810-25-000116; EDGAR accession 0001045810-25-000209; EDGAR accession 0001045810-25-000230; EDGAR accession 0001045810-26-000021; EDGAR accession 0001045810-26-000052; EDGAR accession 0001045810-26-000075</t>
  </si>
  <si>
    <t>All Other column basis, signed (negative) as filed; FY27-era under us-gaap Corporate-Nonsegment member.</t>
  </si>
  <si>
    <t>Label varies by filing era ('Unallocated operating expenses' in FY27-era/comparative presentations); values identical across vintages.</t>
  </si>
  <si>
    <t>Latest presentation kept: Q1FY26 = -163 per Q1FY27 10-Q comparative (original 10-Q -160 with 'Other' -3 re-absorbed; both presentations foot to All Other OI).</t>
  </si>
  <si>
    <t>No acquisition-termination line in any grid quarter; 0 by presentation convention.</t>
  </si>
  <si>
    <t>Residual = All Other OI - (rows 90-93); 0 in every quarter after latest-presentation components. Tagged 'Other' values (0 Q3FY25; -1 Q4FY25 derived; -3 Q1FY26 original vintage) are &lt;=3 derivation-rounding/vintage differences absorbed here.</t>
  </si>
  <si>
    <t>Total All Other; equals row 80 (foots to components per column, verified).</t>
  </si>
  <si>
    <t>CALIBRATION REFERENCES (not model history; fill the FY+nE annual column Y/Z/AA)</t>
  </si>
  <si>
    <t>Source: subsequently reported actuals / consensus captures with URL + access date</t>
  </si>
  <si>
    <t>FY+1E reference revenue (actual or consensus)</t>
  </si>
  <si>
    <t>Yahoo analysis-page aggregate (2026-10-09)</t>
  </si>
  <si>
    <t>Consensus-EPS-implied reference: TTM Jul-27E revenue solved from the non-GAAP EPS consensus path (Q3FY27 2.47 / Q4FY27 2.75 published quarterly means, Yahoo aggregate access 2026-10-09; Q1/Q2FY28 = author phasing of the FY28 Yahoo mean 15.91) at the model's guided GM/opex/tax drivers; Yahoo also prints a direct FY27 revenue aggregate 411.65 (Raw_Data row 344).</t>
  </si>
  <si>
    <t>FY+1E reference operating income</t>
  </si>
  <si>
    <t>Yahoo analysis-page aggregate (2026-10-09); Q2FY27 earnings release EX-99.1</t>
  </si>
  <si>
    <t>Same derivation as Y97: implied non-GAAP-comparable operating income at guided GM 74.0% and ~9.2B opex anchors (Yahoo analysis-page aggregate (2026-10-09), Q2FY27 earnings release EX-99.1).</t>
  </si>
  <si>
    <t>FY+1E reference net income</t>
  </si>
  <si>
    <t>Same derivation as Y97: implied net income = consensus EPS path × model diluted WASO (Yahoo analysis-page aggregate (2026-10-09)).</t>
  </si>
  <si>
    <t>FY+2E consensus revenue (T3)</t>
  </si>
  <si>
    <t>Consensus-EPS-implied TTM Jul-28E revenue (FY28 non-GAAP EPS mean 15.91, Yahoo aggregate access 2026-10-09), author quarterly phasing at model drivers; Yahoo direct FY28 revenue aggregate 692.21 at Raw_Data row 344 (Yahoo analysis-page aggregate (2026-10-09)).</t>
  </si>
  <si>
    <t>FY+3E consensus/guidance revenue (T3/T2)</t>
  </si>
  <si>
    <t>Yahoo analysis-page aggregate (2026-10-09); ZACKS-NVDA-20261009</t>
  </si>
  <si>
    <t>Consensus-EPS-implied TTM Jul-29E revenue (FY29 non-GAAP EPS mean 21.64 n=7, Zacks set access 2026-10-09), author quarterly phasing at model drivers; FY30 suppressed (n&lt;3) (Yahoo analysis-page aggregate (2026-10-09); ZACKS-NVDA-20261009).</t>
  </si>
  <si>
    <t>SEGMENT DISCLOSURE - CUSTOMER-TYPE CROSS-CUT (FY27-era structure)</t>
  </si>
  <si>
    <t>Hyperscale</t>
  </si>
  <si>
    <t>EDGAR accession 0001045810-26-000052; EDGAR accession 0001045810-26-000075</t>
  </si>
  <si>
    <t>FY27-era market-platform disclosure (10-Q segment note): H = Q1FY27 43,050 (accn 26-000075), I = Q2FY27 48,710 (accn 26-000075). Hyperscale + ACIE = Data Center exactly (43,050+32,196 = 75,246; 48,710+40,313 = 89,023 - ties to row 67 per column).</t>
  </si>
  <si>
    <t>AI Clouds, Industrial, &amp; Enterprise</t>
  </si>
  <si>
    <t>Same basis as row 103: Q1FY27 32,196 / Q2FY27 40,313 (XBRL market-platform facts).</t>
  </si>
  <si>
    <t>NON-GAAP RECONCILIATION (AS DISCLOSED) — GAAP → non-GAAP, vintage-separated (company-defined)</t>
  </si>
  <si>
    <t>Source: 8-K EX-99.1 non-GAAP reconciliation tables per quarter/year (1,203 records) ← Data_Sources rows 17-24</t>
  </si>
  <si>
    <t>Two non-GAAP definition vintages are preserved and never mixed in one line: VINTAGE A (rows 110-129) = FY2027 definition — SBC INSIDE non-GAAP, the basis the forecast calibrates to; VINTAGE B (rows 131-151) = original FY2025–FY2026 definition — SBC excluded. Q3FY25/Q4FY25/Q3FY26 were never re-presented on the FY2027 basis (blank in Vintage A); Q1/Q2FY27 were never reported on the old basis (blank in Vintage B); Q1/Q2FY25 non-GAAP was never disclosed at quarterly frequency (annual only). † = re-presented on the FY2027 basis in the Q1FY27/Q2FY27 EX-99.1 vintages. As-disclosed lines keep the press-release reconciliation print basis (its CFO/purchases prints can differ ±2 from the 10-Q face in rows 57-58 — basis noted per row). Derived rows (black, no fill) are flagged per row.</t>
  </si>
  <si>
    <t>VINTAGE A — FY2027 definition (current vintage, Q1FY27 onward): SBC INSIDE non-GAAP; adjustments = equity-securities gains + acquisition-related costs + tax effects</t>
  </si>
  <si>
    <t>← annual P/Q/R carry the Vintage-B fiscal-year reconciliations (including FY2024A); Y/Z/AA carry only the street consensus row 153</t>
  </si>
  <si>
    <t>FY2024A</t>
  </si>
  <si>
    <t>Acquisition-related and other costs (A) — cost of revenue</t>
  </si>
  <si>
    <t>Q1FY27 earnings release EX-99.1; Q2FY27 earnings release EX-99.1 (per column)</t>
  </si>
  <si>
    <t>As disclosed in the reconciliation cost-of-revenue block; footnote (A) acquisition-related.</t>
  </si>
  <si>
    <t>Other — cost of revenue (as reported)</t>
  </si>
  <si>
    <t>As-reported COR-section Other line (Q1FY26A 3, Q4FY26A −1, Q1FY27A 28); blank = not disclosed/zero.</t>
  </si>
  <si>
    <t>Cost of revenue adjustments — total (derived)</t>
  </si>
  <si>
    <t>Derived = acquisition-related + Other COR (rows 110+111): 126 / 49 / 47 / 75 / 46. The IS bridge line and the Assumptions section-6 driver cite this folded row.</t>
  </si>
  <si>
    <t>Operating expense adjustments — acquisition-related (derived)</t>
  </si>
  <si>
    <t>Derived = GAAP − non-GAAP opex; composition per the footnote (A) tables: Q1FY26A 37 (R&amp;D 28 / SG&amp;A 9); Q2FY26A 52 (29/8); Q4FY26A 128 (83/7); Q1FY27A 172 (167/5); Q2FY27A 176 (170/6). SBC is not an adjustment under this vintage (inside non-GAAP).</t>
  </si>
  <si>
    <t>As disclosed; sign as printed (negative = net gains removed from non-GAAP).</t>
  </si>
  <si>
    <t>Other (B) — other-income adjustment</t>
  </si>
  <si>
    <t>As disclosed in the other-income block.</t>
  </si>
  <si>
    <t>Income tax impact of non-GAAP adjustments</t>
  </si>
  <si>
    <t>As disclosed.</t>
  </si>
  <si>
    <t>Tax expense from OBBBA (derived)</t>
  </si>
  <si>
    <t>Derived — foots the Q2FY26A net-income bridge exactly (48 = pre-tax −2,145 + tax 438 − (−1,659)); the one-time OBBBA item first disclosed in the Q2FY26 original-vintage reconciliation.</t>
  </si>
  <si>
    <t>Income tax impact incl. OBBBA (derived)</t>
  </si>
  <si>
    <t>Derived = row 116 + row 117; the IS bridge line and the Assumptions section-6 driver cite this folded row.</t>
  </si>
  <si>
    <t>Non-GAAP gross profit (as disclosed)</t>
  </si>
  <si>
    <t>As disclosed; foots to GAAP gross profit (row 10) + rows 110+111.</t>
  </si>
  <si>
    <t>Non-GAAP gross margin % (as disclosed)</t>
  </si>
  <si>
    <t>As printed (fractions; shown in 0.0% format).</t>
  </si>
  <si>
    <t>Non-GAAP operating expenses (as disclosed)</t>
  </si>
  <si>
    <t>As disclosed; foots to GAAP opex (rows 11+12+13) − row 113.</t>
  </si>
  <si>
    <t>Non-GAAP operating income (as disclosed)</t>
  </si>
  <si>
    <t>As disclosed; = non-GAAP gross profit − non-GAAP opex.</t>
  </si>
  <si>
    <t>Non-GAAP other income, net (as disclosed)</t>
  </si>
  <si>
    <t>Non-GAAP net income (as disclosed)</t>
  </si>
  <si>
    <t>As disclosed; foots to GAAP net income (row 20) + pre-tax impact + row 118.</t>
  </si>
  <si>
    <t>Non-GAAP diluted EPS ($, as disclosed)</t>
  </si>
  <si>
    <t>As printed (cents-rounded); WASO at row 22.</t>
  </si>
  <si>
    <t>GAAP net cash provided by operating activities (reconciliation print)</t>
  </si>
  <si>
    <t>Press-release reconciliation print (can differ ±2 from the 10-Q face row 57; reconciliation basis kept for a self-contained FCF bridge).</t>
  </si>
  <si>
    <t>Purchases related to property and equipment and intangible assets (reconciliation print)</t>
  </si>
  <si>
    <t>As disclosed in the FCF reconciliation (negative; ±1 vs the 10-Q face row 58).</t>
  </si>
  <si>
    <t>Principal payments on PP&amp;E and intangible assets (FCF bridge)</t>
  </si>
  <si>
    <t>As disclosed (negative).</t>
  </si>
  <si>
    <t>Non-GAAP free cash flow (as disclosed)</t>
  </si>
  <si>
    <t>As disclosed; = row 126 + row 127 + row 128.</t>
  </si>
  <si>
    <t>VINTAGE B — Original definition (FY2025–FY2026; SBC EXCLUDED from non-GAAP) — quarters D–I as reported + fiscal years P/Q/R; basis discontinued from Q1FY27</t>
  </si>
  <si>
    <t>Stock-based compensation expense (B) — cost of revenue</t>
  </si>
  <si>
    <t>Q3FY25 earnings release EX-99.1; Q4FY25 earnings release EX-99.1; Q1FY26 earnings release EX-99.1; Q2FY26 earnings release EX-99.1; Q3FY26 earnings release EX-99.1; Q4FY26 earnings release EX-99.1 (per column)</t>
  </si>
  <si>
    <t>Footnote (B) SBC in cost of revenue.</t>
  </si>
  <si>
    <t>Footnote (A) acquisition-related in cost of revenue.</t>
  </si>
  <si>
    <t>Other — cost of revenue (see note)</t>
  </si>
  <si>
    <t>As reported (fill) where the gross-profit bridge verifies the COR-section Other (Q1FY26A 3, Q4FY26A −1, FY2026A 3); FY2024A +40 / FY2025A −3 derived (no fill) = non-GAAP − GAAP − SBC − acquisition-related where the fact store could not attribute a section; blank when zero. Q2FY26A: the reported Other −15 sits in the opex section, not COR.</t>
  </si>
  <si>
    <t>Operating expense adjustments — SBC + acquisition-related + other (derived)</t>
  </si>
  <si>
    <t>Derived = GAAP − non-GAAP opex; composition per the footnote (A)/(B) tables: Q3FY25A 1241 = SBC 1202 + acq 39; Q4FY25A 1311 = 1268 + 43; Q1FY26A 1447 = 1410 + 37; Q2FY26A 1618 = 1566 + 37 + Other 15; Q3FY26A 1624 = 1585 + 39; Q4FY26A 1692 = 1564 + 90 + Other 38; FY2024A 3504 = 3408 + 106 − 10; FY2025A 4689 = 4559 + 130; FY2026A 6382 = 6125 + 204 + 53.</t>
  </si>
  <si>
    <t>Interest expense related to amortization of debt discount</t>
  </si>
  <si>
    <t>As disclosed; blank = not disclosed/zero.</t>
  </si>
  <si>
    <t>Other (B)/(C) — other-income adjustment</t>
  </si>
  <si>
    <t>Total pre-tax impact of non-GAAP adjustments (as disclosed)</t>
  </si>
  <si>
    <t>As disclosed; = sum of the pre-tax bridge lines above.</t>
  </si>
  <si>
    <t>Tax expense from OBBBA (as reported Q2FY26A; derived FY2026A)</t>
  </si>
  <si>
    <t>One-time OBBBA item disclosed in the Q2FY26 reconciliation; FY2026A cell derived (no fill) — foots the FY net-income bridge exactly (pre-tax −1,989 + tax −1,129 + 48 = −3,070).</t>
  </si>
  <si>
    <t>As disclosed; foots to GAAP gross profit (row 10) + rows 131-133.</t>
  </si>
  <si>
    <t>Non-GAAP other income (expense), net (as disclosed)</t>
  </si>
  <si>
    <t>As printed (cents-rounded).</t>
  </si>
  <si>
    <t>Press-release reconciliation print (can differ ±2 from the 10-Q face row 57; reconciliation basis kept).</t>
  </si>
  <si>
    <t>As disclosed; = row 148 + row 149 + row 150.</t>
  </si>
  <si>
    <t>STREET CONSENSUS — non-GAAP EPS (cited, T3; annual FY+1E/FY+2E/FY+3E in Y/Z/AA, same convention as rows 97-101)</t>
  </si>
  <si>
    <t>Street non-GAAP diluted EPS consensus ($)</t>
  </si>
  <si>
    <t>Yahoo analysis-page aggregate (2026-10-09); ZACKS-NVDA-20261009 (FY29)</t>
  </si>
  <si>
    <t>FY2027E 9.31 · FY2028E 15.91 (Yahoo analysis-page aggregate, access 2026-10-09, n=44–57 by column; 30d revisions FY27 43 up/1 down, FY28 46 up/0 down) · FY2029E 21.64 (Zacks set via Nasdaq API, access 2026-10-09, n=7 — Yahoo does not print FY29; per-column sources labeled, never blended). The street non-GAAP basis is the FY2027 vintage (SBC inside).</t>
  </si>
  <si>
    <t>SUPPLEMENTAL — as-disclosed adjustment-total subtotals (per-vintage reconciliation lines)</t>
  </si>
  <si>
    <t>Vintage A — Total impact of non-GAAP adjustments to operating income (as disclosed)</t>
  </si>
  <si>
    <t>As disclosed; equals COR adjustments total + opex adjustments (rows 112+113): 163/101/175/247/222.</t>
  </si>
  <si>
    <t>Vintage A — Total pre-tax impact of non-GAAP adjustments (as disclosed)</t>
  </si>
  <si>
    <t>As disclosed; equals rows 112+113+114+115: 339/−2,145/−5,303/−15,663/−7,251.</t>
  </si>
  <si>
    <t>Vintage B — Total impact of non-GAAP adjustments to operating income (as disclosed)</t>
  </si>
  <si>
    <t>As disclosed; equals rows 131+132+133+134: 1,407/1,482/1,637/1,725/1,742/1,808; FY 4,162/5,336/6,913.</t>
  </si>
  <si>
    <t>COMPS MARKET DATA — 8-peer panel + NVDA target (constants; comparable-company analysis (2026-10-09); the Comps tab peer/target rows cite this zone)</t>
  </si>
  <si>
    <t>Source: comps summary + long-form fact register (comparable-company analysis (2026-10-09)); quotes: 2026-10-08 close (Yahoo Finance daily closes), USD; consensus: Zacks set via api.nasdaq.com (access 2026-10-09); fundamentals: SEC EDGAR filings / 20-F per the issuer notes below</t>
  </si>
  <si>
    <t>Comps market-data fact row</t>
  </si>
  <si>
    <t>Price ($)</t>
  </si>
  <si>
    <t>Price as-of</t>
  </si>
  <si>
    <t>Mcap ($bn)</t>
  </si>
  <si>
    <t>Net debt ($bn)</t>
  </si>
  <si>
    <t>Book value ($bn)</t>
  </si>
  <si>
    <t>Revenue FY ($bn)</t>
  </si>
  <si>
    <t>EBITDA FY ($bn)</t>
  </si>
  <si>
    <t>EPS FY1 ($)</t>
  </si>
  <si>
    <t>EPS FY2 ($)</t>
  </si>
  <si>
    <t>GM (frac)</t>
  </si>
  <si>
    <t>Rev YoY latest Q (frac)</t>
  </si>
  <si>
    <t>FY1 label</t>
  </si>
  <si>
    <t>FY2 label</t>
  </si>
  <si>
    <t>N (FY1)</t>
  </si>
  <si>
    <t>N (FY2)</t>
  </si>
  <si>
    <t>Basis / note</t>
  </si>
  <si>
    <t>Comps market data — Broadcom Inc. (AVGO)</t>
  </si>
  <si>
    <t>Broadcom Inc.</t>
  </si>
  <si>
    <t>AVGO</t>
  </si>
  <si>
    <t>NasdaqGS</t>
  </si>
  <si>
    <t>USD</t>
  </si>
  <si>
    <t>Oct/Nov (Sun nearest Oct 31)</t>
  </si>
  <si>
    <t>3Q26 (Aug-26)</t>
  </si>
  <si>
    <t>Fabless semiconductors (networking/broadband/wireless + custom AI accelerators) and infrastructure software (VMware) [D 10-K FY2025]</t>
  </si>
  <si>
    <t>2026-10-08</t>
  </si>
  <si>
    <t>FY2026 (Oct-26)</t>
  </si>
  <si>
    <t>FY2027</t>
  </si>
  <si>
    <t>comparable-company analysis (2026-10-09) — FY2025 actuals (Nov-25); net debt/book 2026-08-02 (3Q26 10-Q); EBITDA FY = OI + D&amp;A [D-calc]; price/mcap = 2026-10-08 close (Yahoo Finance quote, 2026-10-08, constant share count); EPS FY1/FY2 = Zacks set via Nasdaq API (access 2026-10-09)</t>
  </si>
  <si>
    <t>Comps market data — Advanced Micro Devices, Inc. (AMD)</t>
  </si>
  <si>
    <t>Advanced Micro Devices, Inc.</t>
  </si>
  <si>
    <t>AMD</t>
  </si>
  <si>
    <t>Dec (last Sat)</t>
  </si>
  <si>
    <t>2Q26 (Jun-26)</t>
  </si>
  <si>
    <t>Fabless CPU/GPU designer (EPYC/Ryzen CPUs; Instinct MI-series AI accelerators, Radeon); segments: Data Center / Client &amp; Gaming / Embedded [D 10-K FY2025]</t>
  </si>
  <si>
    <t>FY2026 (Dec-26)</t>
  </si>
  <si>
    <t>comparable-company analysis (2026-10-09) — FY2025 actuals (Dec-25); net debt/book 2026-06-27 (2Q26 10-Q); price/mcap = 2026-10-08 close (Yahoo Finance quote, 2026-10-08, constant share count); EPS FY1/FY2 = Zacks set via Nasdaq API (access 2026-10-09)</t>
  </si>
  <si>
    <t>Comps market data — Intel Corporation (INTC)</t>
  </si>
  <si>
    <t>Intel Corporation</t>
  </si>
  <si>
    <t>INTC</t>
  </si>
  <si>
    <t>IDM: x86 CPUs (CCG), data-center/AI (DCAI), wafer foundry (Intel Foundry, largely intersegment revenue) [D 10-K FY2025]</t>
  </si>
  <si>
    <t>Comps market data — Marvell Technology, Inc. (MRVL)</t>
  </si>
  <si>
    <t>Marvell Technology, Inc.</t>
  </si>
  <si>
    <t>MRVL</t>
  </si>
  <si>
    <t>Jan/Feb (Sat nearest Jan 31)</t>
  </si>
  <si>
    <t>2Q27 (Aug-26)</t>
  </si>
  <si>
    <t>Fabless mixed-signal/connectivity silicon and custom data-center ASICs; single reportable segment; end markets: data center / communications &amp; other [D 10-K FY2026]</t>
  </si>
  <si>
    <t>FY2027 (Jan-27)</t>
  </si>
  <si>
    <t>FY2028</t>
  </si>
  <si>
    <t>comparable-company analysis (2026-10-09) — FY2026 actuals (Jan-26); net debt/book 2026-08-01 (2Q27 10-Q); price/mcap = 2026-10-08 close (Yahoo Finance quote, 2026-10-08, constant share count); EPS FY1/FY2 = Zacks set via Nasdaq API (access 2026-10-09)</t>
  </si>
  <si>
    <t>Comps market data — QUALCOMM Incorporated (QCOM)</t>
  </si>
  <si>
    <t>QUALCOMM Incorporated</t>
  </si>
  <si>
    <t>QCOM</t>
  </si>
  <si>
    <t>Sep (last Sun)</t>
  </si>
  <si>
    <t>3Q26 (Jun-26)</t>
  </si>
  <si>
    <t>Fabless SoCs/modems (Snapdragon) and patent licensing; segments: QCT (handsets/auto/IoT) / QTL (licensing); on-device &amp; edge AI, no AI-DC exposure [D 10-K FY2025]</t>
  </si>
  <si>
    <t>FY2026 (Sep-26, report pending)</t>
  </si>
  <si>
    <t>comparable-company analysis (2026-10-09) — FY2025 actuals (Sep-25); net debt/book 2026-06-28 (3Q26 10-Q); GM = FY2025 gross profit ÷ revenue (24.55/44.28, Yahoo fundamentals) — no gross-profit subtotal in QCOM’s own IS presentation; FY25 NI incl. ~5.7bn one-time deferred-tax charge; price/mcap = 2026-10-08 close (Yahoo Finance quote, 2026-10-08, constant share count); EPS FY1/FY2 = Zacks set via Nasdaq API (access 2026-10-09)</t>
  </si>
  <si>
    <t>Comps market data — Taiwan Semiconductor Manufacturing Co. (TSM)</t>
  </si>
  <si>
    <t>Taiwan Semiconductor Manufacturing Co.</t>
  </si>
  <si>
    <t>TSM</t>
  </si>
  <si>
    <t>NYSE (ADS)</t>
  </si>
  <si>
    <t>Dec</t>
  </si>
  <si>
    <t>Pure-play foundry (leading-edge logic for AI/HPC and mobile); USD-reporter ADS (1 ADS = 5 ord) [D 20-F FY2025]</t>
  </si>
  <si>
    <t>comparable-company analysis (2026-10-09) — FY2025 actuals from 20-F filings (companyfacts lags at FY2024); TWD converted at 20-F USD convenience rate 31.37; net debt/book 2025-12-31; rev YoY n.a. — 6-K quarterly releases not XBRL-tagged (20-F filer); price/mcap = 2026-10-08 close (Yahoo Finance quote, 2026-10-08, constant share count); EPS FY1/FY2 = Zacks set via Nasdaq API (access 2026-10-09)</t>
  </si>
  <si>
    <t>Comps market data — Micron Technology, Inc. (MU)</t>
  </si>
  <si>
    <t>Micron Technology, Inc.</t>
  </si>
  <si>
    <t>MU</t>
  </si>
  <si>
    <t>Aug (Thu nearest Aug 31)</t>
  </si>
  <si>
    <t>FY2026A (Sep-26)</t>
  </si>
  <si>
    <t>DRAM/HBM/NAND memory maker — AI memory supercycle (HBM for AI accelerators) [D 10-K FY2025]</t>
  </si>
  <si>
    <t>comparable-company analysis (2026-10-09) — FY2026 actuals (Sep-26 print, 8-K EX-99.1 filed 2026-09-30): revenue 133.188bn (+256.3% YoY), GAAP GM 80.7%, OI 99.340bn, NI 84.969bn (diluted EPS 74.33), D&amp;A 9.503bn, capex 30.712bn; net cash 38.3bn / book 138.378bn at 2026-09-03; FY1 = FY2027E (Zacks 175.82, n=14); Q1FY27 guide: revenue $61.5B ±1.5, GAAP EPS $37.84 ±1; price/mcap = 2026-10-08 close (Yahoo Finance quote, 2026-10-08, constant share count)</t>
  </si>
  <si>
    <t>Comps market data — Arm Holdings plc (ARM)</t>
  </si>
  <si>
    <t>Arm Holdings plc</t>
  </si>
  <si>
    <t>ARM</t>
  </si>
  <si>
    <t>NasdaqGS (ADS)</t>
  </si>
  <si>
    <t>Mar</t>
  </si>
  <si>
    <t>1Q27 (Jun-26)</t>
  </si>
  <si>
    <t>CPU IP licensor (royalty + license model; compute subsystems for AI data-center and edge) [D 20-F FY2026]</t>
  </si>
  <si>
    <t>FY2027 (Mar-27)</t>
  </si>
  <si>
    <t>comparable-company analysis (2026-10-09) — FY2026 actuals (Mar-26, USD-reporter); net debt/book 2026-06-30 (1Q27 6-K); price/mcap = 2026-10-08 close (Yahoo Finance quote, 2026-10-08, constant share count); EPS FY1/FY2 = Zacks set via Nasdaq API (access 2026-10-09)</t>
  </si>
  <si>
    <t>Comps market data — NVIDIA Corp. (NVDA)</t>
  </si>
  <si>
    <t>NVIDIA Corp.</t>
  </si>
  <si>
    <t>Jan (52/53-week; FY2027 ends 2027-01-31)</t>
  </si>
  <si>
    <t>Q2FY27A (Jul-26)</t>
  </si>
  <si>
    <t>Accelerated computing: data-center GPUs (Blackwell/Rubin) + networking + CUDA ecosystem; segments: Data Center / Edge Computing [target]</t>
  </si>
  <si>
    <t>FY2027 (Jan-27, 53wk)</t>
  </si>
  <si>
    <t>44–57</t>
  </si>
  <si>
    <t>comparable-company analysis (2026-10-09) — target row; FY2026A actuals (Jan-26); net cash/book 2026-07-26 (Q2FY27A 10-Q); EPS anchors = street non-GAAP consensus (Raw_Data row 153: FY27/FY28 = Yahoo 2026-10-09, FY29 = Zacks set); price/mcap = 2026-10-08 close (Yahoo Finance quote, 2026-10-08)</t>
  </si>
  <si>
    <t>COMPS HOUSES — 15 sell-side price targets as printed (constants; 15-house sell-side research set (2026-10-09); the Comps tab PTs-across-houses rows cite this zone)</t>
  </si>
  <si>
    <t>Source: bank-level consensus summary (15-house sell-side research set (2026-10-09)); PT/rating/date as printed on each note; PT-method lines captured verbatim on the Comps tab (page cites + report ids)</t>
  </si>
  <si>
    <t>House PT fact row</t>
  </si>
  <si>
    <t>House</t>
  </si>
  <si>
    <t>Note date</t>
  </si>
  <si>
    <t>Rating</t>
  </si>
  <si>
    <t>Report id</t>
  </si>
  <si>
    <t>Vintage</t>
  </si>
  <si>
    <t>Comps house PT — Goldman Sachs (2026-08-26)</t>
  </si>
  <si>
    <t>2026-08-26</t>
  </si>
  <si>
    <t>Buy</t>
  </si>
  <si>
    <t>9285790</t>
  </si>
  <si>
    <t>Post-print</t>
  </si>
  <si>
    <t>id=9285790 · post-print · PT basis printed — verbatim line + page cite on the Comps tab PT-METHODS section</t>
  </si>
  <si>
    <t>Comps house PT — Morgan Stanley (2026-09-06)</t>
  </si>
  <si>
    <t>2026-09-06</t>
  </si>
  <si>
    <t>Overweight</t>
  </si>
  <si>
    <t>9330333</t>
  </si>
  <si>
    <t>id=9330333 · post-print · PT basis printed — verbatim line + page cite on the Comps tab PT-METHODS section</t>
  </si>
  <si>
    <t>Comps house PT — BofA Global Research (2026-08-27)</t>
  </si>
  <si>
    <t>BofA Global Research</t>
  </si>
  <si>
    <t>2026-08-27</t>
  </si>
  <si>
    <t>9307660</t>
  </si>
  <si>
    <t>id=9307660 · post-print · PT basis printed — verbatim line + page cite on the Comps tab PT-METHODS section</t>
  </si>
  <si>
    <t>Comps house PT — JPMorgan (2026-09-02)</t>
  </si>
  <si>
    <t>2026-09-02</t>
  </si>
  <si>
    <t>9322112</t>
  </si>
  <si>
    <t>id=9322112 · post-print · PT basis printed — verbatim line + page cite on the Comps tab PT-METHODS section</t>
  </si>
  <si>
    <t>Comps house PT — Citi (2026-08-27)</t>
  </si>
  <si>
    <t>Citi</t>
  </si>
  <si>
    <t>9286390</t>
  </si>
  <si>
    <t>id=9286390 · post-print · PT basis printed — verbatim line + page cite on the Comps tab PT-METHODS section</t>
  </si>
  <si>
    <t>Comps house PT — UBS (2026-08-08)</t>
  </si>
  <si>
    <t>UBS</t>
  </si>
  <si>
    <t>2026-08-08</t>
  </si>
  <si>
    <t>9177184</t>
  </si>
  <si>
    <t>Pre-print</t>
  </si>
  <si>
    <t>id=9177184 · pre-print · PT basis printed — verbatim line + page cite on the Comps tab PT-METHODS section</t>
  </si>
  <si>
    <t>Comps house PT — Wells Fargo Securities, LLC (2026-08-27)</t>
  </si>
  <si>
    <t>Wells Fargo Securities, LLC</t>
  </si>
  <si>
    <t>9325501</t>
  </si>
  <si>
    <t>id=9325501 · post-print · PT basis printed — verbatim line + page cite on the Comps tab PT-METHODS section</t>
  </si>
  <si>
    <t>Comps house PT — HSBC (2026-08-27)</t>
  </si>
  <si>
    <t>HSBC</t>
  </si>
  <si>
    <t>9294143</t>
  </si>
  <si>
    <t>id=9294143 · post-print · PT basis printed — verbatim line + page cite on the Comps tab PT-METHODS section</t>
  </si>
  <si>
    <t>Comps house PT — RBC Capital Markets (2026-08-20)</t>
  </si>
  <si>
    <t>RBC Capital Markets</t>
  </si>
  <si>
    <t>2026-08-20</t>
  </si>
  <si>
    <t>Outperform</t>
  </si>
  <si>
    <t>9302566</t>
  </si>
  <si>
    <t>id=9302566 · pre-print · PT basis printed — verbatim line + page cite on the Comps tab PT-METHODS section</t>
  </si>
  <si>
    <t>Comps house PT — TD Cowen (2026-08-27)</t>
  </si>
  <si>
    <t>TD Cowen</t>
  </si>
  <si>
    <t>Buy (Top Pick)</t>
  </si>
  <si>
    <t>9314841</t>
  </si>
  <si>
    <t>id=9314841 · post-print · PT basis printed — verbatim line + page cite on the Comps tab PT-METHODS section</t>
  </si>
  <si>
    <t>Comps house PT — BMO Capital Markets (2026-08-21)</t>
  </si>
  <si>
    <t>BMO Capital Markets</t>
  </si>
  <si>
    <t>2026-08-21</t>
  </si>
  <si>
    <t>Outperform (initiated)</t>
  </si>
  <si>
    <t>9301841</t>
  </si>
  <si>
    <t>id=9301841 · pre-print · PT basis printed — verbatim line + page cite on the Comps tab PT-METHODS section</t>
  </si>
  <si>
    <t>Comps house PT — Cantor Fitzgerald (2026-08-27)</t>
  </si>
  <si>
    <t>Cantor Fitzgerald</t>
  </si>
  <si>
    <t>Overweight (Top Pick)</t>
  </si>
  <si>
    <t>9325561</t>
  </si>
  <si>
    <t>id=9325561 · post-print · PT basis printed — verbatim line + page cite on the Comps tab PT-METHODS section</t>
  </si>
  <si>
    <t>Comps house PT — Wedbush (2026-08-25)</t>
  </si>
  <si>
    <t>Wedbush</t>
  </si>
  <si>
    <t>2026-08-25</t>
  </si>
  <si>
    <t>9302852</t>
  </si>
  <si>
    <t>id=9302852 · pre-print · PT basis printed — verbatim line + page cite on the Comps tab PT-METHODS section</t>
  </si>
  <si>
    <t>Comps house PT — Truist Securities (2026-08-27)</t>
  </si>
  <si>
    <t>Truist Securities</t>
  </si>
  <si>
    <t>9325960</t>
  </si>
  <si>
    <t>id=9325960 · post-print · PT basis printed — verbatim line + page cite on the Comps tab PT-METHODS section</t>
  </si>
  <si>
    <t>Comps house PT — Piper Sandler Companies (2026-09-10)</t>
  </si>
  <si>
    <t>Piper Sandler Companies</t>
  </si>
  <si>
    <t>2026-09-10</t>
  </si>
  <si>
    <t>Overweight (initiated)</t>
  </si>
  <si>
    <t>9349149</t>
  </si>
  <si>
    <t>id=9349149 · post-print · PT basis printed — verbatim line + page cite on the Comps tab PT-METHODS section</t>
  </si>
  <si>
    <t>GUIDANCE LEDGER — 39-quarter source grid (constants derived from public NVIDIA filings and earnings releases; Q4 cells computed as FY − 9M and stored as constants; source codes: S002 = XBRL 10-Q/10-K (EDGAR XBRL companyfacts API + filings), S003 = press-release outlook sections, S004 = non-GAAP reconciliation tables, S006 = release commentary)</t>
  </si>
  <si>
    <t>Source: guidance-ledger workbook Raw_Data rows 4-68 (company guidance history (2026-10-09)) — value-identical carry, ledger columns C..AO mapped to B..AN here; the Guidance tab grid cites this zone; same-fact NVDA quarterly facts already live at rows 8-65 (post-FY25 quarters)</t>
  </si>
  <si>
    <t>Quarter ends drift ±5 days (last-Sunday cadence)</t>
  </si>
  <si>
    <t>Fact</t>
  </si>
  <si>
    <t>Revenue, guide mid — initial vintage ($mm)</t>
  </si>
  <si>
    <t>S003</t>
  </si>
  <si>
    <t>Outlook section of each release; initial vintage (revisions below)</t>
  </si>
  <si>
    <t>Revenue, guide mid — revision ($mm)</t>
  </si>
  <si>
    <t>Q4-FY19: shareholder letter 2019-01-28 · Q2-FY23: preliminary-results 8-K 2022-08-08</t>
  </si>
  <si>
    <t>Gross margin non-GAAP, guide point — revision (%)</t>
  </si>
  <si>
    <t>Q4-FY19 2019-01-28 update (62.5 to 56.0); Q2-FY23 2022-08-08 prelim (67.1 to 46.1)</t>
  </si>
  <si>
    <t>Gross margin GAAP, guide point — revision (%)</t>
  </si>
  <si>
    <t>Q4-FY19 (62.3 to 55.0); Q2-FY23 (65.1 to 43.7)</t>
  </si>
  <si>
    <t>Opex GAAP, guide — revision ($mm)</t>
  </si>
  <si>
    <t>Q2-FY23 2022-08-08 prelim (2,460 to 2,420); non-GAAP opex unchanged in both revisions</t>
  </si>
  <si>
    <t>Other income &amp; expense, guide — revision (~$mm)</t>
  </si>
  <si>
    <t>Q4-FY19 (21 to 25); Q2-FY23 (-40 to -16, non-GAAP basis)</t>
  </si>
  <si>
    <t>Tax rate, guide point — revision (GAAP, %)</t>
  </si>
  <si>
    <t>Q4-FY19 2019-01-28 update (8% to 6%, ±1pp)</t>
  </si>
  <si>
    <t>Revenue, guide tolerance ± (cited)</t>
  </si>
  <si>
    <t>'plus or minus 2 percent' — stated in every release since FY2018</t>
  </si>
  <si>
    <t>Revenue, actual (GAAP, $mm)</t>
  </si>
  <si>
    <t>S002</t>
  </si>
  <si>
    <t>XBRL 10-Q/10-K; Q4 = FY − 9M (formula off the derivation block below)</t>
  </si>
  <si>
    <t>Gross margin non-GAAP, guide point (%)</t>
  </si>
  <si>
    <t>Outlook section; ±50bp stated</t>
  </si>
  <si>
    <t>Gross margin GAAP, guide point (%)</t>
  </si>
  <si>
    <t>Gross margin, guide tolerance ± (cited)</t>
  </si>
  <si>
    <t>'plus or minus 50 basis points'; Q4-FY19 revision widened to ±100bps (2019-01-28 update)</t>
  </si>
  <si>
    <t>Gross margin non-GAAP, actual (%)</t>
  </si>
  <si>
    <t>S004</t>
  </si>
  <si>
    <t>Company reconciliation tables, same release</t>
  </si>
  <si>
    <t>Gross profit, actual (GAAP, $mm)</t>
  </si>
  <si>
    <t>XBRL; Q4 = FY − 9M (formula)</t>
  </si>
  <si>
    <t>Opex non-GAAP, guide (single number, 'approximately')</t>
  </si>
  <si>
    <t>Outlook section</t>
  </si>
  <si>
    <t>Opex non-GAAP, actual ($mm)</t>
  </si>
  <si>
    <t>Company reconciliation tables</t>
  </si>
  <si>
    <t>Opex GAAP, guide (single number, 'approximately')</t>
  </si>
  <si>
    <t>Outlook section; Q1-FY23 includes $1.36B ARM write-off as guided</t>
  </si>
  <si>
    <t>Opex GAAP, actual ($mm)</t>
  </si>
  <si>
    <t>Capex, guide low ($mm)</t>
  </si>
  <si>
    <t>Capex, guide high ($mm)</t>
  </si>
  <si>
    <t>Explicit bounds</t>
  </si>
  <si>
    <t>Capex, actual ($mm)</t>
  </si>
  <si>
    <t>XBRL cash-flow; Q4-FY20 = FY − 9M (formula)</t>
  </si>
  <si>
    <t>Other income &amp; expense, guide (~$mm)</t>
  </si>
  <si>
    <t>Guide excludes gains/losses from non-affiliated investments</t>
  </si>
  <si>
    <t>Other income &amp; expense, actual non-GAAP ($mm)</t>
  </si>
  <si>
    <t>Company reconciliation tables (non-GAAP OI&amp;E excludes the same items — the comparable actual)</t>
  </si>
  <si>
    <t>Tax rate, guide point (GAAP, %)</t>
  </si>
  <si>
    <t>Outlook section; ±1pp stated; excludes discrete items</t>
  </si>
  <si>
    <t>Tax, guide tolerance ± (cited)</t>
  </si>
  <si>
    <t>'plus or minus one percent'</t>
  </si>
  <si>
    <t>Tax, FY-range low (cited, FY27–)</t>
  </si>
  <si>
    <t>Full-year basis from FY2027</t>
  </si>
  <si>
    <t>Tax, FY-range high (cited, FY27–)</t>
  </si>
  <si>
    <t>Tax expense, actual (GAAP, $mm)</t>
  </si>
  <si>
    <t>Pretax income, actual (GAAP, $mm)</t>
  </si>
  <si>
    <t>ANNUAL &amp; 9M — Q4 derivation inputs (XBRL 10-K / Q3 10-Q)</t>
  </si>
  <si>
    <t>Span / fiscal year</t>
  </si>
  <si>
    <t>FY18</t>
  </si>
  <si>
    <t>FY19</t>
  </si>
  <si>
    <t>FY20</t>
  </si>
  <si>
    <t>FY21</t>
  </si>
  <si>
    <t>FY22</t>
  </si>
  <si>
    <t>FY23</t>
  </si>
  <si>
    <t>FY24</t>
  </si>
  <si>
    <t>FY25</t>
  </si>
  <si>
    <t>FY26</t>
  </si>
  <si>
    <t>Revenue — FY ($mm)</t>
  </si>
  <si>
    <t>Revenue — 9M ($mm)</t>
  </si>
  <si>
    <t>Gross profit — FY ($mm)</t>
  </si>
  <si>
    <t>Gross profit — 9M ($mm)</t>
  </si>
  <si>
    <t>Opex — FY ($mm)</t>
  </si>
  <si>
    <t>Opex — 9M ($mm)</t>
  </si>
  <si>
    <t>Tax expense — FY ($mm)</t>
  </si>
  <si>
    <t>Tax expense — 9M ($mm)</t>
  </si>
  <si>
    <t>Pretax income — FY ($mm)</t>
  </si>
  <si>
    <t>Pretax income — 9M ($mm)</t>
  </si>
  <si>
    <t>Capex — FY ($mm)</t>
  </si>
  <si>
    <t>Capex — 9M ($mm)</t>
  </si>
  <si>
    <t>Annual per 10-K; 9M per Q3 10-Q; used only for Q4 = FY − 9M</t>
  </si>
  <si>
    <t>KEY COMMENTARY — concrete outlook lines (number / timeline / next-quarter view)</t>
  </si>
  <si>
    <t>For fiscal 2020, revenue is expected to be flat to down slightly.</t>
  </si>
  <si>
    <t>S006</t>
  </si>
  <si>
    <t>Outlook excludes any contribution from the pending Mellanox acquisition; strong sequential growth expected in Data Center, offset by a seasonal decline in GeForce notebook GPUs and SoC modules.</t>
  </si>
  <si>
    <t>Outlook reduced by $100 million for potential coronavirus impact and excludes any Mellanox contribution; the acquisition was expected to close in the early part of calendar 2020.</t>
  </si>
  <si>
    <t>Mellanox is expected to contribute a low-teens percentage of combined second-quarter revenue.</t>
  </si>
  <si>
    <t>GAAP operating expenses are expected to be $3.55 billion, including the $1.36 billion Arm write-off.</t>
  </si>
  <si>
    <t>Revenue outlook includes an estimated reduction of approximately $500 million relating to Russia and the COVID lockdowns in China.</t>
  </si>
  <si>
    <t>Gaming and Professional Visualization revenue are expected to decline sequentially as OEMs and channel partners reduce inventory levels.</t>
  </si>
  <si>
    <t>"A trillion dollars of installed global data center infrastructure will transition from general purpose to accelerated computing" — CEO, same release.</t>
  </si>
  <si>
    <t>For the full year, gross margins are expected to be in the mid-70% range; full-year operating expenses expected to grow in the low-40% range.</t>
  </si>
  <si>
    <t>Full-year gross margins expected in the mid-70% range; full-year operating expense growth expected in the mid- to upper-40% range.</t>
  </si>
  <si>
    <t>Outlook reflects a loss in H20 revenue of approximately $8.0 billion due to export control limitations; company working toward mid-70% gross margins late in the year.</t>
  </si>
  <si>
    <t>No H20 shipments to China assumed in the outlook; company continues to expect to exit the year with non-GAAP gross margins in the mid-70% range.</t>
  </si>
  <si>
    <t>No Data Center compute revenue from China assumed; beginning Q1-FY27 non-GAAP measures include stock-based compensation expense ($1.9B within the opex guide).</t>
  </si>
  <si>
    <t>NVIDIA is not assuming any Data Center compute revenue from China in its outlook.</t>
  </si>
  <si>
    <t>Trimmed for length; quarters without a concrete outlook line are blank</t>
  </si>
  <si>
    <t>CONSENSUS BANK ESTIMATES — bank levels from the 15-house sell-side research set (2026-10-09) + company-actual segment denominators + free-tier tape (Yahoo analysis-page aggregate (2026-10-09) · TP tape (2026-10-08)); the Consensus tab bank rows cite this zone (levels in USD bn; EPS in USD; GM as fraction)</t>
  </si>
  <si>
    <t>Source: bank-level consensus summary (15-house sell-side research set (2026-10-09)) — page per metric row; segment denominators cross-cited from the EDGAR filing facts already registered at rows 67-84 (same filings); free-tier tape from the consensus summary (Yahoo analysis-page aggregate (2026-10-09) · TP tape (2026-10-08))</t>
  </si>
  <si>
    <t>Bank · metric</t>
  </si>
  <si>
    <t>Page</t>
  </si>
  <si>
    <t>Data Center revenue — Wells Fargo</t>
  </si>
  <si>
    <t>Post-print 2026-08-27</t>
  </si>
  <si>
    <t>15-house sell-side research set (2026-10-09)</t>
  </si>
  <si>
    <t>Basis = non-GAAP (incl. SBC; F2Q27 rptd EPS $2.22 matches NVDA non-GAAP). Estimates summary p5 (quarterly + annual, 'New' columns; 'Prior' + VisibleAlpha street columns also printed). Report also prints its own prior vin</t>
  </si>
  <si>
    <t>Data Center revenue — TD Cowen</t>
  </si>
  <si>
    <t>Basis: non-GAAP 'As Reported' now INCLUDES SBC (from F1Q27; excl-SBC EPS row 9.35/16.02/20.35 also printed, kept off the map as a third basis). Full income statement Figure 3 p6 (through FY2031: rev 1,050,961/1,179,439 F</t>
  </si>
  <si>
    <t>Data Center revenue — HSBC</t>
  </si>
  <si>
    <t>Basis: 'Adjusted' = non-GAAP. Estimate-changes exhibit + full annual/quarterly P&amp;L (GAAP and non-GAAP blocks) p4. TP $360-&gt;$365 = 25x FY28E EPS $14.56. FY27/28 EPS +1% each; HSBC FY28 +60% vs guided ~70% - still 12% abov</t>
  </si>
  <si>
    <t>Data Center revenue — Cantor Fitzgerald</t>
  </si>
  <si>
    <t>Basis: Pro-Forma EPS incl. ESO (SBC). Quarterly stats + 'Prev' vintage p1; full model Exhibit 4 p7 (CY-labeled columns are Apr-Jan fiscal-year sums). 'Stretch goal' CY27 EPS $17 achievable (p2) - commentary only, not the</t>
  </si>
  <si>
    <t>Edge Computing revenue — Wells Fargo</t>
  </si>
  <si>
    <t>Edge Computing revenue — TD Cowen</t>
  </si>
  <si>
    <t>Edge Computing revenue — HSBC</t>
  </si>
  <si>
    <t>DC-Compute revenue — Wells Fargo</t>
  </si>
  <si>
    <t>DC-Networking revenue — Wells Fargo</t>
  </si>
  <si>
    <t>Company actual — Data Center revenue FY2025A ($bn)</t>
  </si>
  <si>
    <t>EDGAR accession 0001045810-25-000116; EDGAR accession 0001045810-25-000209; EDGAR accession 0001045810-25-000230; EDGAR accession 0001045810-26-000021; Q1FY27 earnings release EX-99.2</t>
  </si>
  <si>
    <t>Sum of Raw_Data B67:E67 (Q1-Q4 FY25 market-platform Data Center)</t>
  </si>
  <si>
    <t>Company actual — Data Center revenue FY2026A ($bn)</t>
  </si>
  <si>
    <t>Sum of Raw_Data F67:I67</t>
  </si>
  <si>
    <t>Company actual — Data Center revenue Q3FY26A ($bn)</t>
  </si>
  <si>
    <t>Equals Raw_Data H67</t>
  </si>
  <si>
    <t>Company actual — Data Center revenue Q4FY26A ($bn)</t>
  </si>
  <si>
    <t>Equals Raw_Data I67</t>
  </si>
  <si>
    <t>Company actual — Gaming/Edge revenue FY2025A ($bn)</t>
  </si>
  <si>
    <t>Sum of Raw_Data B68:E68 (old-structure Gaming; presentation bridge per row 68 note)</t>
  </si>
  <si>
    <t>Company actual — Gaming/Edge revenue FY2026A ($bn)</t>
  </si>
  <si>
    <t>Sum of Raw_Data F68:I68 (presentation bridge)</t>
  </si>
  <si>
    <t>Company actual — Gaming/Edge revenue Q3FY26A ($bn)</t>
  </si>
  <si>
    <t>Equals Raw_Data H68 (Gaming)</t>
  </si>
  <si>
    <t>Company actual — Gaming/Edge revenue Q4FY26A ($bn)</t>
  </si>
  <si>
    <t>Equals Raw_Data I68 (Gaming)</t>
  </si>
  <si>
    <t>Company actual — DC-Compute revenue Q3FY26A ($bn)</t>
  </si>
  <si>
    <t>Equals Raw_Data H83 (FY26-era sub-disclosure)</t>
  </si>
  <si>
    <t>Company actual — DC-Compute revenue Q4FY26A ($bn)</t>
  </si>
  <si>
    <t>Equals Raw_Data I83</t>
  </si>
  <si>
    <t>Company actual — DC-Networking revenue Q3FY26A ($bn)</t>
  </si>
  <si>
    <t>Equals Raw_Data H84</t>
  </si>
  <si>
    <t>Company actual — DC-Networking revenue Q4FY26A ($bn)</t>
  </si>
  <si>
    <t>Equals Raw_Data I84</t>
  </si>
  <si>
    <t>Non-GAAP gross margin — Goldman Sachs</t>
  </si>
  <si>
    <t>Post-print 2026-08-26</t>
  </si>
  <si>
    <t>Basis: non-GAAP incl. SBC. Exhibit 3 old-vs-new p3 (EPS +9.5%/+17.9% FY28/29); GS forecast block + quarterly EPS p4. TP $285-&gt;$300 = 30x normalized EPS $10.00 (was $9.50). Same-day 'First Take' (9286228) superseded by th</t>
  </si>
  <si>
    <t>Non-GAAP gross margin — Morgan Stanley</t>
  </si>
  <si>
    <t>Post-print 2026-09-06</t>
  </si>
  <si>
    <t xml:space="preserve">Basis: MS ModelWare 'consensus methodology' (FY26A 4.77 = NVDA non-GAAP). Header EPS row p1 (9.21/15.01/24.16); Key Earnings Inputs p3 prints MW EPS 9.18/15.01/22.00 - both recorded in notes, map uses the p1 header row. </t>
  </si>
  <si>
    <t>Non-GAAP gross margin — BofA</t>
  </si>
  <si>
    <t>Basis: BofA headline non-GAAP INCLUDES SBC ('incl. options'); a second non-GAAP ex-SBC row (FY27/28/29 9.38/16.07/23.57) and GAAP row also printed. Income statement Exhibit 7 p7; estimate changes Exhibit 3 p4 (old-&gt;new).</t>
  </si>
  <si>
    <t>Non-GAAP gross margin — Citi</t>
  </si>
  <si>
    <t>Basis: 'Core EPS' = non-GAAP incl-SBC (report text p6: 'non-GAAP EPS (incl-SBC)'); 'Reported EPS' = GAAP (sits above Core on investment gains). EPS quarterly + 'Previous' vintage p1; summary P&amp;L p2 (annual only). TP $300</t>
  </si>
  <si>
    <t>Non-GAAP gross margin — Piper Sandler</t>
  </si>
  <si>
    <t>Post-print 2026-09-10</t>
  </si>
  <si>
    <t>Basis: non-GAAP. Initiation. Summary stats p1, estimates-vs-consensus p7, quarterly income statement p10 (through FY2030: rev 1,313,324 / EPS 30.37). PT $300 = 14x CY28E.</t>
  </si>
  <si>
    <t>Non-GAAP gross margin — TD Cowen</t>
  </si>
  <si>
    <t>Non-GAAP gross margin — Wells Fargo</t>
  </si>
  <si>
    <t>Non-GAAP gross margin — HSBC</t>
  </si>
  <si>
    <t>Non-GAAP gross margin — Cantor Fitzgerald</t>
  </si>
  <si>
    <t>Non-GAAP gross margin — UBS</t>
  </si>
  <si>
    <t>PRE-PRINT 2026-08-08</t>
  </si>
  <si>
    <t>PRE-PRINT vintage - no UBS post-Q2FY27 report in the research set (coverage gap). Basis: UBS-adjusted (non-GAAP). Highlights p1; income statement p5 (GM not printed as % - derived here from UBS's own printed gross profit / reve</t>
  </si>
  <si>
    <t>Non-GAAP gross margin — RBC Capital Markets</t>
  </si>
  <si>
    <t>PRE-PRINT 2026-08-20</t>
  </si>
  <si>
    <t>PRE-PRINT vintage (no RBC post-print note in the research set - coverage gap). Basis: non-GAAP adjusted diluted. Income statement Exhibit 1 p3; estimates summary p1. No FY2029 printed.</t>
  </si>
  <si>
    <t>Non-GAAP gross margin — BMO Capital Markets</t>
  </si>
  <si>
    <t>PRE-PRINT 2026-08-21</t>
  </si>
  <si>
    <t>PRE-PRINT vintage (initiation ahead of Q2FY27). Basis: non-GAAP. Estimates p1 (quarterly EPS) + p2 (annual, GM). PT $340 = 25x FY28E EPS $13.56. No FY2029 printed.</t>
  </si>
  <si>
    <t>Non-GAAP gross margin — Wedbush</t>
  </si>
  <si>
    <t>PRE-PRINT 2026-08-25</t>
  </si>
  <si>
    <t>PRE-PRINT vintage. Basis: non-GAAP. Key stats p1 (quarterly + annual revenue/GM/EPS). No FY2029, no opex/OpInc printed.</t>
  </si>
  <si>
    <t>Revenue — Goldman Sachs</t>
  </si>
  <si>
    <t>Revenue — Morgan Stanley</t>
  </si>
  <si>
    <t>Revenue — BofA</t>
  </si>
  <si>
    <t>Revenue — Citi</t>
  </si>
  <si>
    <t>Revenue — Piper Sandler</t>
  </si>
  <si>
    <t>Revenue — TD Cowen</t>
  </si>
  <si>
    <t>Revenue — Wells Fargo</t>
  </si>
  <si>
    <t>Revenue — HSBC</t>
  </si>
  <si>
    <t>Revenue — Cantor Fitzgerald</t>
  </si>
  <si>
    <t>Revenue — UBS</t>
  </si>
  <si>
    <t>Revenue — RBC Capital Markets</t>
  </si>
  <si>
    <t>Revenue — BMO Capital Markets</t>
  </si>
  <si>
    <t>Revenue — Wedbush</t>
  </si>
  <si>
    <t>Non-GAAP diluted EPS — Goldman Sachs</t>
  </si>
  <si>
    <t>Non-GAAP diluted EPS — Morgan Stanley</t>
  </si>
  <si>
    <t>Non-GAAP diluted EPS — BofA</t>
  </si>
  <si>
    <t>Non-GAAP diluted EPS — Citi</t>
  </si>
  <si>
    <t>Non-GAAP diluted EPS — Piper Sandler</t>
  </si>
  <si>
    <t>Non-GAAP diluted EPS — TD Cowen</t>
  </si>
  <si>
    <t>Non-GAAP diluted EPS — Wells Fargo</t>
  </si>
  <si>
    <t>Non-GAAP diluted EPS — HSBC</t>
  </si>
  <si>
    <t>Non-GAAP diluted EPS — Cantor Fitzgerald</t>
  </si>
  <si>
    <t>Non-GAAP diluted EPS — UBS</t>
  </si>
  <si>
    <t>Non-GAAP diluted EPS — RBC Capital Markets</t>
  </si>
  <si>
    <t>Non-GAAP diluted EPS — BMO Capital Markets</t>
  </si>
  <si>
    <t>Non-GAAP diluted EPS — Wedbush</t>
  </si>
  <si>
    <t>Non-GAAP operating expenses — BofA</t>
  </si>
  <si>
    <t>Non-GAAP operating expenses — Piper Sandler</t>
  </si>
  <si>
    <t>Non-GAAP operating expenses — TD Cowen</t>
  </si>
  <si>
    <t>Non-GAAP operating expenses — Wells Fargo</t>
  </si>
  <si>
    <t>Non-GAAP operating expenses — Cantor Fitzgerald</t>
  </si>
  <si>
    <t>Non-GAAP operating expenses — RBC Capital Markets</t>
  </si>
  <si>
    <t>Non-GAAP operating income — Goldman Sachs</t>
  </si>
  <si>
    <t>Company actual — DC-Compute revenue FY2026A ($bn)</t>
  </si>
  <si>
    <t>Derived: DC FY2026A 193.737 (B274) − DC-Networking FY2026A 31.383 (B332)</t>
  </si>
  <si>
    <t>Company actual — DC-Networking revenue FY2026A ($bn)</t>
  </si>
  <si>
    <t>Derived: sum of disclosed quarterly networking 4.964 + 7.252 + 8.187 + 10.980 (10-Q/10-K FY2026)</t>
  </si>
  <si>
    <t>Company actual — Non-GAAP gross margin FY2026A (frac)</t>
  </si>
  <si>
    <t>Derived: revenue-weighted disclosed quarterly non-GAAP GM (61.0 / 72.7 / 73.6 / 75.1%); ties to as-disclosed FY 71.3%</t>
  </si>
  <si>
    <t>Company actual — Edge Computing revenue FY2026A, retrospect ($bn)</t>
  </si>
  <si>
    <t>Derived: total 215.938 − DC 193.737; equals Gaming+ProViz+Auto+OEM (F68:I71 sum)</t>
  </si>
  <si>
    <t>Company actual — Edge Computing revenue FY2025A, retrospect ($bn)</t>
  </si>
  <si>
    <t>Derived: FY2025 total 130.497 − DC 115.186 (B273)</t>
  </si>
  <si>
    <t>Company actual — Edge Computing revenue Q3FY26A, retrospect ($bn)</t>
  </si>
  <si>
    <t>Sum H68:H71 (Gaming 4.265 + ProViz 0.760 + Auto 0.592 + OEM 0.174)</t>
  </si>
  <si>
    <t>Company actual — Edge Computing revenue Q4FY26A, retrospect ($bn)</t>
  </si>
  <si>
    <t>Sum I68:I71</t>
  </si>
  <si>
    <t>Non-GAAP operating income — UBS</t>
  </si>
  <si>
    <t>Non-GAAP operating income — RBC Capital Markets</t>
  </si>
  <si>
    <t>Yahoo Finance non-GAAP EPS (vendor aggregate) (10/09)</t>
  </si>
  <si>
    <t>id=YAHOO-NVDA-ANALYSIS-20261009 — Yahoo analysis-page aggregate (access 2026-10-09, n=44–57 by column); FY27 9.31 / FY28 15.91 = the Cover/Comps anchor; FY29 21.64 = Zacks set (id=ZACKS-NVDA-20261009, n=7) — Yahoo does not print FY29; per-column sources labeled, never blended</t>
  </si>
  <si>
    <t>Vcpscanner tape (aggregator) (10/06)</t>
  </si>
  <si>
    <t>TP tape (2026-10-08)</t>
  </si>
  <si>
    <t>id=VCPSCANNER-NVDA-20261006 — aggregator tape: n=79 · mean 338.96 · median 322.50 · range 210–515 · cross-check only — the primary TP tape is the 15-house sell-side research set (2026-10-09)</t>
  </si>
  <si>
    <t>Zacks mean TP (10/08)</t>
  </si>
  <si>
    <t>id=ZACKS-NVDA-20261008 — mean TP 328.66 (Zacks prints implied +38.4% vs its own 237.47 close) · range 180–515 · cross-check</t>
  </si>
  <si>
    <t>Yahoo Finance revenue (vendor aggregate) (10/09)</t>
  </si>
  <si>
    <t>id=YAHOO-NVDA-ANALYSIS-20261009 — Q3FY27 108.98 (guide 108.0 ±2%) · Q4FY27 124.48 · FY27 411.65 · FY28 692.21 (+68.2% y/y); access 2026-10-09</t>
  </si>
  <si>
    <t>COMPS SAMPLE-LAYOUT EXTENSION — fields the comps sample architecture needs beyond the COMPS MARKET DATA zone (rows 160-171): security type, EPS NTM, P/E (last FY), OM, ROE, FY net income / capex / FCF, and the operating-module text columns (constants; the Comps tab cites this zone for these fields)</t>
  </si>
  <si>
    <t>Source: comps long-form fact register (comparable-company analysis (2026-10-09); underlying Nasdaq quote/EPS feeds + SEC EDGAR companyfacts/filings + company filings evidence) + comps summary; P/E (last FY) recomputed on 2026-10-08 closes on GAAP last-completed-fiscal-year denominators (not a rolling TTM); MU rolled to FY2026A (8-K EX-99.1, filed 2026-09-30)</t>
  </si>
  <si>
    <t>Comps sample-layout fact row</t>
  </si>
  <si>
    <t>P/E last FY (x)</t>
  </si>
  <si>
    <t>OM (frac)</t>
  </si>
  <si>
    <t>ROE (frac)</t>
  </si>
  <si>
    <t>Rev grw FY1E (frac)</t>
  </si>
  <si>
    <t>Comps sample-layout — Broadcom Inc. (AVGO)</t>
  </si>
  <si>
    <t>Ordinary</t>
  </si>
  <si>
    <t>Semiconductor solutions (networking/broadband/wireless + custom AI accelerators) / infrastructure software (VMware)</t>
  </si>
  <si>
    <t>Custom AI accelerators (XPUs) + AI networking for hyperscalers</t>
  </si>
  <si>
    <t>AI semiconductors ≈ $20bn FY2025 ≈ ~31% of revenue ($63.9bn); XPUs + AI networking are the DC vector</t>
  </si>
  <si>
    <t>Buyer/specifier — HBM3E/HBM4 stacks co-designed onto custom XPUs; DDR buffers on networking gear</t>
  </si>
  <si>
    <t>FY2025 actuals (Nov-25); NI/capex/FCF per register (10-K accn 0001730168-25-000121); AI-share route attempted: not in captured evidence · AI/DC share: [A estimate from company-disclosed quarterly AI revenue line ~$20bn FY2025] · memory: [A — XPU HBM integration per company roadmaps] · product mix: [D 10-K FY2025] · XPU exposure: [D 10-K FY2025]; FY1E/FY2E revenue = Yahoo analysis 2026-10-10: 105.97/173.93 bn (n=40/49)</t>
  </si>
  <si>
    <t>Comps sample-layout — Advanced Micro Devices, Inc. (AMD)</t>
  </si>
  <si>
    <t>Data Center / Client &amp; Gaming / Embedded</t>
  </si>
  <si>
    <t>n.a. — merchant GPUs (MI-series), not custom ASIC</t>
  </si>
  <si>
    <t>Data Center segment 16.635 / 34.639 = 48.0% of FY2025 revenue</t>
  </si>
  <si>
    <t>Buyer — HBM3E/HBM4 for Instinct MI-series accelerators; GDDR on client GPUs</t>
  </si>
  <si>
    <t>FY2025 actuals (Dec-25); segment split per AMD segment filings · memory: [A] · product mix: [D 10-K FY2025] · AI/DC share: [D 10-K segment note]; FY1E/FY2E revenue = Yahoo analysis 2026-10-10: 50.95/88.94 bn (n=48/52)</t>
  </si>
  <si>
    <t>Comps sample-layout — Intel Corporation (INTC)</t>
  </si>
  <si>
    <t>CCG / DCAI / Intel Foundry (largely intersegment revenue)</t>
  </si>
  <si>
    <t>Gaudi AI accelerators (merchant, small share) + Intel Foundry for third-party silicon; no hyperscaler custom-XPU franchise</t>
  </si>
  <si>
    <t>DCAI segment 16.919 / 52.853 = 32.0% of FY2025 revenue</t>
  </si>
  <si>
    <t>Buyer — HBM for Gaudi accelerators; DDR on Xeon</t>
  </si>
  <si>
    <t>FY2025 actuals (Dec-25); P/E (last FY) n.a. — FY2025 GAAP net loss: negative annual earnings make the ratio meaningless, displayed as n.a. by convention (NTM P/E is live and positive); FY1E/FY2E revenue = Yahoo analysis 2026-10-10: 63.1/72.41 bn (n=43/47)</t>
  </si>
  <si>
    <t>Comps sample-layout — Marvell Technology, Inc. (MRVL)</t>
  </si>
  <si>
    <t>Single reportable segment; end markets: data center / communications &amp; other</t>
  </si>
  <si>
    <t>Custom data-center ASICs (XPUs for hyperscalers)</t>
  </si>
  <si>
    <t>n.a. — single segment; end-market split not in the captured evidence</t>
  </si>
  <si>
    <t>Buyer/specifier — HBM co-designed onto custom XPUs for hyperscalers</t>
  </si>
  <si>
    <t>FY2026 actuals (Jan-26); NI per MRVL 10-K filing statement of operations (2,670.1) · memory: [A] · product mix: [D 10-K FY2026] · XPU exposure: [D 10-K FY2026]; FY1E/FY2E revenue = Yahoo analysis 2026-10-10: 12.07/19.69 bn (n=40/36)</t>
  </si>
  <si>
    <t>Comps sample-layout — QUALCOMM Incorporated (QCOM)</t>
  </si>
  <si>
    <t>QCT (handsets/auto/IoT) / QTL (licensing)</t>
  </si>
  <si>
    <t>Emerging hyperscaler-XPU supplier — merchant SoCs (Snapdragon); DC vector = Cloud AI inference cards (AI200/AI250) + custom AI silicon for AWS (multi-generation deal, Sep-2026) + edge/on-device AI</t>
  </si>
  <si>
    <t>AIDC optionality — AI200/AI250 data-center inference chips (announced Oct-2025; launch customer HUMAIN (KSA), 200MW deployment ramping from 2026; $1B+ MoU); Sep-2026 multi-generation custom AI-silicon + optical-interconnect deal with AWS; revenue contribution from 2H2026; FY26 guide first includes a small AI data-center contribution; NVLink Fusion custom-CPU ecosystem partner. Current revenue = handsets + auto + IoT</t>
  </si>
  <si>
    <t>Buyer — LPDDR5X on Snapdragon (on-device AI); no HBM/data-center exposure</t>
  </si>
  <si>
    <t>FY2025 actuals (Sep-25); FY25 NI incl. ~5.7bn one-time deferred-tax charge; GM 55.4% computed from Yahoo annual fundamentals (no GP subtotal in QCOM's IS) (P/E (last FY) elevated on the ~5.7bn one-time charge; on a rolling TTM through Jun-26 the charge and its partial reversal offset) · XPU: [A] · memory: [A] · product mix: [D 10-K FY2025] · AI/DC share: [D 10-K FY2025]; FY1E/FY2E revenue = Yahoo analysis 2026-10-10: 42.88/44.91 bn (n=31/33)</t>
  </si>
  <si>
    <t>Comps sample-layout — Taiwan Semiconductor Manufacturing Co. (TSM)</t>
  </si>
  <si>
    <t>ADR</t>
  </si>
  <si>
    <t>Pure-play foundry (leading-edge logic for AI/HPC and mobile)</t>
  </si>
  <si>
    <t>Foundry for custom AI silicon — manufactures hyperscaler XPUs (TPU-class) on leading-edge + CoWoS; per-client capacity allocation not disclosed; HPC platform ≈ 58% of revenue (AI accelerators are the HPC vector)</t>
  </si>
  <si>
    <t>HPC platform ≈ 58% of revenue — AI accelerators are the HPC growth driver</t>
  </si>
  <si>
    <t>Supplier-side — CoWoS integrator pairing logic with HBM; not a memory buyer or maker</t>
  </si>
  <si>
    <t>FY2025 actuals from 20-F filings (USD convenience column, 31.37); capex = payments for PP&amp;E; NI 54.1155bn per register (20-F P&amp;L USD column prints 54.0365 — 0.15% read delta, register kept) · memory: [A] · AI/DC: [D platform split HPC ≈60% FY2025 / A AI attribution] · product mix: [D 20-F FY2025]; FY1E/FY2E revenue = Yahoo analysis 2026-10-10: 173.73/235.27 bn (n=40/40)</t>
  </si>
  <si>
    <t>Comps sample-layout — Micron Technology, Inc. (MU)</t>
  </si>
  <si>
    <t>CMBU (compute &amp; networking, incl. HBM) / Mobile / Automotive &amp; Embedded / Storage</t>
  </si>
  <si>
    <t>n.a. as a DC share — HBM/DRAM is the AI vector (see Memory column)</t>
  </si>
  <si>
    <t>HBM3E/HBM4 + DRAM for AI accelerators; memory supercycle (3Q26 revenue $41.5bn, +346% YoY)</t>
  </si>
  <si>
    <t>FY2026 actuals (Sep-26 print, 8-K EX-99.1 filed 2026-09-30): revenue 133.188bn (+256.3% YoY), GAAP GM 80.7%, OI 99.340bn, NI 84.969bn (diluted EPS 74.33), D&amp;A 9.503bn; capex 30.712bn, FCF = CFO 89.675 − capex = 58.963bn; net cash 38.3bn / equity 138.378bn at 2026-09-03; FY1 = FY2027E (Zacks 175.82, n=14); Q1FY27 guide: revenue $61.5B ±1.5, GAAP EPS $37.84 ±1 · product mix: [D 10-K FY2025] · memory exposure: [D 10-K FY2025; 10-Q 3Q26]; FY1E/FY2E revenue = Yahoo analysis 2026-10-10: 275.21/320.57 bn (n=40/42)</t>
  </si>
  <si>
    <t>Comps sample-layout — Arm Holdings plc (ARM)</t>
  </si>
  <si>
    <t>Royalty + license (CPU IP; compute subsystems for AI data-center and edge)</t>
  </si>
  <si>
    <t>IP licensor — CPU cores/subsystems for custom ASICs: NVIDIA Grace uses Neoverse V2 cores (core-IP license); NVIDIA Vera uses NVIDIA in-house Olympus cores (Arm v9.2-A architectural license, no longer Neoverse); Neoverse CSS sits inside other licensees' in-house CPUs; royalty on every custom-AI chip shipped; not a chipmaker itself</t>
  </si>
  <si>
    <t>Not separately quantified — royalty-bearing CPU IP across AI-DC custom silicon (Grace = Neoverse V2 core IP; Vera = Arm architectural license); AI-DC is the primary growth vector</t>
  </si>
  <si>
    <t>Neither buyer nor maker — IP only; licensees integrate HBM/DDR</t>
  </si>
  <si>
    <t>FY2026 actuals (Mar-26, USD-reporter) · memory: [A] · AI/DC: [A qualitative] · product mix: [D 20-F FY2026] · XPU exposure: [D 20-F FY2026]; FY1E/FY2E revenue = Yahoo analysis 2026-10-10: 6.06/8.25 bn (n=39/40)</t>
  </si>
  <si>
    <t>Comps sample-layout — NVIDIA Corp. (NVDA)</t>
  </si>
  <si>
    <t>Data Center (Hyperscale + AI Clouds, I&amp;E) / Edge Computing [target; D 10-K FY2026]</t>
  </si>
  <si>
    <t>n.a. — merchant accelerated-computing platforms (Blackwell/Rubin), not custom ASIC</t>
  </si>
  <si>
    <t>LIVE on tab — Data Center FY2026A ÷ total revenue (formula over Raw_Data rows 67/8)</t>
  </si>
  <si>
    <t>Buyer — HBM3E/HBM4 (288GB/GPU on Ultra/Rubin) + LPDDR5X/SOCAMM on Grace/Vera; GDDR on gaming</t>
  </si>
  <si>
    <t>Target row; FY2026A actuals; NI 120.067 = sum Raw_Data F20:I20; capex −6.042 = −sum F58:I58; FCF 96.676 = CFO 102,718 − capex 6,042 (GAAP basis); ROE = NI FY2026 ÷ equity 2026-01-25 157,293 · memory: [A — per-generation memory specs from company platform disclosures]</t>
  </si>
  <si>
    <t>GEOGRAPHIC REVENUE ($mm) — customer headquarters location; Q3FY26 10-Q (accession 0001045810-25-000230)</t>
  </si>
  <si>
    <t>Geographic revenue — Taiwan ($mm)</t>
  </si>
  <si>
    <t>Q3FY26 10-Q (accession 0001045810-25-000230), “Geographic Revenue based upon Customer Headquarters Location”: United States 39,177; Taiwan 13,751; China (including Hong Kong) 2,973; Other 1,105; total 57,006. Prior periods were recast to the customer-headquarters basis; end customer and shipping location may differ.</t>
  </si>
  <si>
    <t>Geographic revenue — China incl. Hong Kong ($mm)</t>
  </si>
  <si>
    <t>Geographic revenue — United States ($mm)</t>
  </si>
  <si>
    <t>Geographic revenue — Singapore ($mm)</t>
  </si>
  <si>
    <t>Geographic revenue — Europe ($mm)</t>
  </si>
  <si>
    <t>Geographic revenue — Other Americas ($mm)</t>
  </si>
  <si>
    <t>Geographic revenue — Other ($mm)</t>
  </si>
  <si>
    <t>BALANCE-SHEET MEMO — investment carrying values inside rows 27 / 37 (constants; filings facts)</t>
  </si>
  <si>
    <t>Memo: Marketable equity securities (FV-NI), inside row 27</t>
  </si>
  <si>
    <t>Us-gaap:EquitySecuritiesFvNi — I = 2026-01-25 comparative in the Q1/Q2FY27 10-Qs (filed 2026-05-20 / 2026-08-26); J = Q1FY27 10-Q; K = Q2FY27 10-Q. Ties to the row-27 face split in N27 (30,237 / 42,783). B–H blank: legacy face, the marketable-securities line carried debt securities only (equity securities in other assets per N37). Non-interest-bearing — excluded from the interest-income yield base (Assumptions r37).</t>
  </si>
  <si>
    <t>Memo: Non-marketable securities (balance-sheet face line), inside row 37</t>
  </si>
  <si>
    <t>EDGAR XBRL companyfacts API; Q1/Q2FY27 10-Q balance-sheet face</t>
  </si>
  <si>
    <t>Balance-sheet face "Non-marketable securities" (J 43,364 / K 51,157, as already cited in N37; K also = row 37 66,903 − XBRL us-gaap:OtherAssetsNoncurrent 15,746). Of which XBRL us-gaap:EquitySecuritiesWithoutReadilyDeterminableFairValueAmount 42,336 / 47,898. Carrying value (measurement alternative), not fair value. Added to the DCF EV→equity bridge (DCF §D).</t>
  </si>
  <si>
    <t>COMMITMENTS, GUARANTEES &amp; SUBSEQUENT EVENTS — Q2FY27 10-Q notes (as summarised by Citi 9332793 / GS 9285790 / MS 9339788) and XBRL</t>
  </si>
  <si>
    <t>Supply and capacity commitments ($M)</t>
  </si>
  <si>
    <t>Citi 9332793; MS 9339788; GS 9285790</t>
  </si>
  <si>
    <t>Q2FY27 10-Q commitments note; "primarily related to procurement of memory". $92B falls in the remainder of FY27 (UBS 9311330).</t>
  </si>
  <si>
    <t>Committed equity investments, not yet funded ($M)</t>
  </si>
  <si>
    <t>Citi 9332793; GS 9285790</t>
  </si>
  <si>
    <t>Q2FY27 10-Q commitments note. Funding timing not disclosed.</t>
  </si>
  <si>
    <t>Cloud service agreements ($M)</t>
  </si>
  <si>
    <t>Q2FY27 10-Q commitments note (NVDA backstops AI-cloud capacity; revenue above a base rate shared ~50/50 — Citi 9286390, RBC 9335960).</t>
  </si>
  <si>
    <t>Data center leases not yet commenced ($M)</t>
  </si>
  <si>
    <t>Q2FY27 10-Q commitments note.</t>
  </si>
  <si>
    <t>Capital expenditure commitments ($M)</t>
  </si>
  <si>
    <t>Citi 9332793</t>
  </si>
  <si>
    <t>Citi prints $8Bn; GS 9285790 prints $5bn — sources differ, not used by any formula.</t>
  </si>
  <si>
    <t>Guarantees — maximum exposure ($M)</t>
  </si>
  <si>
    <t>Us-gaap:GuaranteeObligationsMaximumExposure, 10-Q filed 2026-08-26 = 108,500. Of which $105.0B for the 4.25GW Ohio (SB Energy / OpenAI tenant) campus, effective from FY29 as phases complete, triggered only on certain tenant defaults; $3.5B LPS guarantees for AI-cloud partners (Citi 9332793).</t>
  </si>
  <si>
    <t>Subsequent event: Hugging Face acquisition — purchase price ($M)</t>
  </si>
  <si>
    <t>HSBC 9339262</t>
  </si>
  <si>
    <t>Announced 2026-09-03 (after the Q2FY27 period end); USD11.9bn purchase price + USD1bn equity retention program = USD12.9bn; expected close 1H CY27. Placed in column K for reference only — not a Q2FY27 balance.</t>
  </si>
  <si>
    <t>/</t>
  </si>
  <si>
    <t>Tier</t>
  </si>
  <si>
    <t>Description</t>
  </si>
  <si>
    <t>Locator (URI)</t>
  </si>
  <si>
    <t>Retrieved at</t>
  </si>
  <si>
    <t>SHA-256</t>
  </si>
  <si>
    <t>Conflict</t>
  </si>
  <si>
    <t>Fallback / notes</t>
  </si>
  <si>
    <t>EDGAR submissions API</t>
  </si>
  <si>
    <t>T1</t>
  </si>
  <si>
    <t>SEC EDGAR submissions index JSON (CIK 0001045810)</t>
  </si>
  <si>
    <t>https://data.sec.gov/submissions/CIK0001045810.json</t>
  </si>
  <si>
    <t>2026-10-09</t>
  </si>
  <si>
    <t>7f9d5135fdb5e9f14e68cb109632c54ceafedef50e8e4946b13ec4b2c397801f</t>
  </si>
  <si>
    <t>None</t>
  </si>
  <si>
    <t>SEC XBRL companyfacts JSON (primary IS/BS/CF/shares source)</t>
  </si>
  <si>
    <t>https://data.sec.gov/api/xbrl/companyfacts/CIK0001045810.json</t>
  </si>
  <si>
    <t>19ef503a5770f5660964b3c3aea6937579d9b359da344afe6a9adf59c63d26ff</t>
  </si>
  <si>
    <t>25 re-presentation conflicts resolved; latest presentation used</t>
  </si>
  <si>
    <t>Omits all company extension tags — R-file faces are the backstop</t>
  </si>
  <si>
    <t>EDGAR accession 0001045810-24-000029</t>
  </si>
  <si>
    <t>FY2024 10-K (period 2024-01-28) — FilingSummary + R-file rendering set</t>
  </si>
  <si>
    <t>https://www.sec.gov/Archives/edgar/data/1045810/000104581024000029/index.json</t>
  </si>
  <si>
    <t>Fab24c0841609b5791fb708f7cd4d0bbfe97137397712ca95ef53b2a535ca8ad</t>
  </si>
  <si>
    <t>Hash = FilingSummary.xml; full filing set retrieved from the filing index</t>
  </si>
  <si>
    <t>EDGAR accession 0001045810-24-000316</t>
  </si>
  <si>
    <t>Q3FY25 10-Q (period 2024-10-27) — FilingSummary + R-file rendering set</t>
  </si>
  <si>
    <t>https://www.sec.gov/Archives/edgar/data/1045810/000104581024000316/index.json</t>
  </si>
  <si>
    <t>4370bafdbb3c246a56439b86152c1e8d78c09cc96ef33dd46bb45d62e3353ed0</t>
  </si>
  <si>
    <t>EDGAR accession 0001045810-25-000023</t>
  </si>
  <si>
    <t>FY2025 10-K (period 2025-01-26) — FilingSummary + R-file rendering set</t>
  </si>
  <si>
    <t>https://www.sec.gov/Archives/edgar/data/1045810/000104581025000023/index.json</t>
  </si>
  <si>
    <t>B8815e4d13b5efb11ab003a37612eaa8bab953fb00fd0907f3c58032e29bfa07</t>
  </si>
  <si>
    <t>EDGAR accession 0001045810-25-000116</t>
  </si>
  <si>
    <t>Q1FY26 10-Q (period 2025-04-27) — FilingSummary + R-file rendering set</t>
  </si>
  <si>
    <t>https://www.sec.gov/Archives/edgar/data/1045810/000104581025000116/index.json</t>
  </si>
  <si>
    <t>9bc7922e465c0c9035fef6fafbcf946fea8de141a1edf2cd9945a21d5c6eff13</t>
  </si>
  <si>
    <t>EDGAR accession 0001045810-25-000209</t>
  </si>
  <si>
    <t>Q2FY26 10-Q (period 2025-07-27) — FilingSummary + R-file rendering set</t>
  </si>
  <si>
    <t>https://www.sec.gov/Archives/edgar/data/1045810/000104581025000209/index.json</t>
  </si>
  <si>
    <t>3922de43e96c2ad855f879ef662fc9cdb05303926b837d0afde10dd147a1f76b</t>
  </si>
  <si>
    <t>EDGAR accession 0001045810-25-000230</t>
  </si>
  <si>
    <t>Q3FY26 10-Q (period 2025-10-26) — FilingSummary + R-file rendering set</t>
  </si>
  <si>
    <t>https://www.sec.gov/Archives/edgar/data/1045810/000104581025000230/index.json</t>
  </si>
  <si>
    <t>E3009ac26b9b3c6138138794031a94f93bdf93b7abcf24da4ac5c5a63a1882d2</t>
  </si>
  <si>
    <t>EDGAR accession 0001045810-26-000021</t>
  </si>
  <si>
    <t>FY2026 10-K (period 2026-01-25) — FilingSummary + R-file rendering set</t>
  </si>
  <si>
    <t>https://www.sec.gov/Archives/edgar/data/1045810/000104581026000021/index.json</t>
  </si>
  <si>
    <t>368d8bd0f1906c4a60177387b8944948c964a0182fad38464e6613032b7953c6</t>
  </si>
  <si>
    <t>EDGAR accession 0001045810-26-000052</t>
  </si>
  <si>
    <t>Q1FY27 10-Q (period 2026-04-26) — FilingSummary + R-file rendering set</t>
  </si>
  <si>
    <t>https://www.sec.gov/Archives/edgar/data/1045810/000104581026000052/index.json</t>
  </si>
  <si>
    <t>Cbea761c863020033518d79af90aec29b644d2b982467cfa65fd84b858500b40</t>
  </si>
  <si>
    <t>EDGAR accession 0001045810-26-000075</t>
  </si>
  <si>
    <t>Q2FY27 10-Q (period 2026-07-26) — FilingSummary + R-file rendering set</t>
  </si>
  <si>
    <t>https://www.sec.gov/Archives/edgar/data/1045810/000104581026000075/index.json</t>
  </si>
  <si>
    <t>1af3a67ddc2db77280c967fad0b55ef84044bada2715960a396379aceacf0f79</t>
  </si>
  <si>
    <t>Q3FY25 earnings release EX-99.1</t>
  </si>
  <si>
    <t>8-K EX-99.1 earnings press release Q3FY25 (2024-10-27)</t>
  </si>
  <si>
    <t>https://www.sec.gov/Archives/edgar/data/1045810/000104581024000315/q3fy25pr.htm</t>
  </si>
  <si>
    <t>635933ebc436d6a902f10fc11e77a064bf582b9d4b8c9b59a3539b94e5d5c078</t>
  </si>
  <si>
    <t>Non-GAAP definition drift across press-release vintages noted</t>
  </si>
  <si>
    <t>Q4FY25 earnings release EX-99.1</t>
  </si>
  <si>
    <t>8-K EX-99.1 earnings press release Q4FY25 (2025-01-26)</t>
  </si>
  <si>
    <t>https://www.sec.gov/Archives/edgar/data/1045810/000104581025000021/q4fy25pr.htm</t>
  </si>
  <si>
    <t>0a113a00ad71ceacb5e550d2ea058b0cc5e8f60b115bc2f3f219d37317a1a50b</t>
  </si>
  <si>
    <t>Q1FY26 earnings release EX-99.1</t>
  </si>
  <si>
    <t>8-K EX-99.1 earnings press release Q1FY26 (2025-04-27)</t>
  </si>
  <si>
    <t>https://www.sec.gov/Archives/edgar/data/1045810/000104581025000115/q1fy26pr.htm</t>
  </si>
  <si>
    <t>01c4e26ffd5ad848bd75046062e83b477a3fe220138ff797b737d0e325446f39</t>
  </si>
  <si>
    <t>Q2FY26 earnings release EX-99.1</t>
  </si>
  <si>
    <t>8-K EX-99.1 earnings press release Q2FY26 (2025-07-27)</t>
  </si>
  <si>
    <t>https://www.sec.gov/Archives/edgar/data/1045810/000104581025000207/q2fy26pr.htm</t>
  </si>
  <si>
    <t>9f4764356b06dcb14fbf8a12dae9b47dcedde41780d758bc46ae61a8ea339d9d</t>
  </si>
  <si>
    <t>Q3FY26 earnings release EX-99.1</t>
  </si>
  <si>
    <t>8-K EX-99.1 earnings press release Q3FY26 (2025-10-26)</t>
  </si>
  <si>
    <t>https://www.sec.gov/Archives/edgar/data/1045810/000104581025000228/q3fy26pr.htm</t>
  </si>
  <si>
    <t>4f0bb13e1801592ae801cb3a9353b334629ce9b13338d1c5b87852f2b76ccb5a</t>
  </si>
  <si>
    <t>Q4FY26 earnings release EX-99.1</t>
  </si>
  <si>
    <t>8-K EX-99.1 earnings press release Q4FY26 (2026-01-25)</t>
  </si>
  <si>
    <t>https://www.sec.gov/Archives/edgar/data/1045810/000104581026000019/q4fy26pr.htm</t>
  </si>
  <si>
    <t>A76eac8928cb5331209206615dde1617a4e381189db182501a674674352be5de</t>
  </si>
  <si>
    <t>Q1FY27 earnings release EX-99.1</t>
  </si>
  <si>
    <t>8-K EX-99.1 earnings press release Q1FY27 (2026-04-26)</t>
  </si>
  <si>
    <t>https://www.sec.gov/Archives/edgar/data/1045810/000104581026000051/q1fy27pr.htm</t>
  </si>
  <si>
    <t>3853418f8bc4c0773078a98e22a3358946a30aebe6ad2be2cf8fc7f4870df4bf</t>
  </si>
  <si>
    <t>Q2FY27 earnings release EX-99.1</t>
  </si>
  <si>
    <t>8-K EX-99.1 earnings press release Q2FY27 (2026-07-26)</t>
  </si>
  <si>
    <t>https://www.sec.gov/Archives/edgar/data/1045810/000104581026000073/q2fy27pr.htm</t>
  </si>
  <si>
    <t>3e3140c8413a4cd4a2012648ba2d2e918e1efef3d02bb74d3dce47c3e5696a66</t>
  </si>
  <si>
    <t>T2</t>
  </si>
  <si>
    <t>NVDA guidance history derived from public filings: open Q3FY27 guide walk - $108.0B+/-2%, GM 74.0%+/-50bp both bases, opex ~9.2/9.0B, FY27 tax 16-18%, 8-quarter beat pattern</t>
  </si>
  <si>
    <t>Derived from NVIDIA 8-K EX-99.1 exhibits</t>
  </si>
  <si>
    <t>n/a — derived analysis</t>
  </si>
  <si>
    <t>Derived from public NVIDIA 8-K EX-99.1 exhibits (T1)</t>
  </si>
  <si>
    <t>Damodaran implied ERP (Jan-2026)</t>
  </si>
  <si>
    <t>T3</t>
  </si>
  <si>
    <t>Damodaran implied equity risk premium, S&amp;P 500, start of Jan-2026 = 4.23% — Data Update 2 for 2026 (blog) + ERPJan26.xlsx calculator; DCF ERP (research assumption used in the WACC calculation)</t>
  </si>
  <si>
    <t>https://aswathdamodaran.blogspot.com/2026/01/data-update-2-for-2026-equities-get.html + https://pages.stern.nyu.edu/~adamodar/pc/implprem/ERPJan26.xlsx</t>
  </si>
  <si>
    <t>D3cb1d01898431c31f5a0192934ff2b9859947efb2d6b9febd7da3a1a662ae4d</t>
  </si>
  <si>
    <t>Research assumption, not live market data</t>
  </si>
  <si>
    <t>Yahoo weekly closes (2026-10-09)</t>
  </si>
  <si>
    <t>Yahoo Finance chart API weekly adj-close NVDA + ^GSPC — levered beta 1.8279 = cov/var of 100 weekly closes (99 log returns), 2024-11-11 → 2026-10-05 (last bar = the 10-05 week through the 10-08 close), corr 0.68; DCF beta</t>
  </si>
  <si>
    <t>https://query1.finance.yahoo.com/v8/finance/chart/NVDA?interval=1wk&amp;range=3y (+ %5EGSPC)</t>
  </si>
  <si>
    <t>3950493717aef159fd2ee35f3956203b1c58d785feaccf6c477e591d07d2f075</t>
  </si>
  <si>
    <t>n/a</t>
  </si>
  <si>
    <t>Public free aggregator; cross-check vs published third-party betas ~1.7–2.1</t>
  </si>
  <si>
    <t>NVDA comparable-company analysis: 8-peer multiples on 2026-10-08 closes + Zacks-set consensus (access 2026-10-09); implied per-share bridges — cluster-A FY1/FY2 P/E 838.4/723.6, all-8 FY1/FY2/NTM 580.9/557.0/538.4, P/B 127.8, EV/Sales TTM 209.4</t>
  </si>
  <si>
    <t>Derived from SEC filings and cited market-data sources</t>
  </si>
  <si>
    <t>n/a — derived analysis</t>
  </si>
  <si>
    <t>Peers' FY1 denominators trough/early-ramp (INTC 110.6x, AMD 89.4x, MRVL 82.2x) — dispersion caveat carried onto the Valuation tab</t>
  </si>
  <si>
    <t>Free tier (api.nasdaq.com + SEC EDGAR); peer FY1 revenue/EBITDA consensus gaps recorded in the summary coverage-gap notes</t>
  </si>
  <si>
    <t>Bank-level consensus summary of sell-side research (43 sell-side research reports, 15 houses, 13 with model estimates): per-bank FY27/FY28 revenue + non-GAAP EPS + GM with vintage flags (UBS 8/08, RBC 8/20, BMO 8/21, Wedbush 8/25 pre-print); aggregates full-set vs post-print (FY27 rev 404.5 n=13 / post 408.7 n=9; FY28 rev 655.2 / 690.4; FY27 EPS 9.14 / 9.21; FY28 EPS 14.77 / 15.51; FY29 EPS 21.30 n=10; TP mean 316.5 / median 315 n=15); free-tier tape preserved under own labels</t>
  </si>
  <si>
    <t>Bank-level consensus summary derived from cited sell-side research</t>
  </si>
  <si>
    <t>n/a — derived analysis</t>
  </si>
  <si>
    <t>Consensus fiscal text prints FY2027-end 2027-01-24 — the model calendar (53-week FY ending 2027-01-31) governs; JPM/Truist print no estimate tables (coverage gaps); segment estimates suppressed (n&lt;3)</t>
  </si>
  <si>
    <t>Free-tier tape (Zacks/vcpscanner) preserved under own labels inside the summary — never mixed into sell-side research statistics</t>
  </si>
  <si>
    <t>sell-side research reports (2026-10-09)</t>
  </si>
  <si>
    <t>43 sell-side NVDA research reports (15 houses; bank/date/page citations preserved; 31 of 43 published after the Q2FY27 results)</t>
  </si>
  <si>
    <t>43 sell-side research reports; bank/date/page citations in Raw_Data</t>
  </si>
  <si>
    <t>n/a — source collection</t>
  </si>
  <si>
    <t>Primary research source; free-tier public aggregates kept separate under Yahoo analysis-page aggregate (2026-10-09) / TP tape (2026-10-08)</t>
  </si>
  <si>
    <t>comparable-company calculations (2026-10-09)</t>
  </si>
  <si>
    <t>NVDA comparable-company calculations: 8-peer multiples table, cluster stats, implied-value bridges (cluster-A FY1/FY2 838.4/723.6; all-8 580.9/557.0/538.4; P/B 127.8; EV/Sales 293.4), coverage-gap notes</t>
  </si>
  <si>
    <t>Derived comparable-company calculations</t>
  </si>
  <si>
    <t>n/a — derived analysis</t>
  </si>
  <si>
    <t>Peers' FY1 denominators trough/early-ramp (INTC 110.6x, AMD 89.4x, MRVL 82.2x) — dispersion caveat carried onto the Comps and Valuation tabs</t>
  </si>
  <si>
    <t>Free tier (api.nasdaq.com + SEC EDGAR); FY1 revenue/EBITDA consensus gaps registered as honest n.a.</t>
  </si>
  <si>
    <t>bank-level consensus analysis (2026-10-09)</t>
  </si>
  <si>
    <t>NVDA bank-level consensus analysis: bank-level grid with page cites, aggregates full-set vs post-print, key-debates digest, coverage gaps</t>
  </si>
  <si>
    <t>Derived bank-level consensus analysis</t>
  </si>
  <si>
    <t>n/a — derived analysis</t>
  </si>
  <si>
    <t>Same fiscal-calendar note as the 15-house sell-side research set (2026-10-09); model calendar governs</t>
  </si>
  <si>
    <t>Derived from the sell-side research set and bank-level consensus summary.</t>
  </si>
  <si>
    <t>Q1FY27 earnings release EX-99.2</t>
  </si>
  <si>
    <t>NVIDIA Q1FY27 earnings release EX-99.2 CFO commentary (fiscal Q1 2027): 'Under the previous sub-markets, Data Center compute revenue was a record $60.4 billion ... networking revenue was a record $14.8 billion' - the final Compute/Networking sub-market $ disclosure; also carries the Q1FY27 outlook section</t>
  </si>
  <si>
    <t>https://www.sec.gov/Archives/edgar/data/1045810/000104581026000051/</t>
  </si>
  <si>
    <t>D370ec80ad7cdecac5ce36c6fed343e657f8409b55c698ccc573e0c7ea9dcc2c</t>
  </si>
  <si>
    <t>Yahoo Finance v8 chart API daily closes 2026-10-08 — NVDA 230.48 + 8 comps peers (AVGO 360.14 · AMD 620.68 · INTC 107.08 · MRVL 274.66 · QCOM 176.01 · TSM 457.99 · MU 1035.84 · ARM 275.29)</t>
  </si>
  <si>
    <t>https://query1.finance.yahoo.com/v8/finance/chart/NVDA</t>
  </si>
  <si>
    <t>n/a — live API close, not hashed</t>
  </si>
  <si>
    <t>Feeds Raw_Data rows 163–171 price/as-of/mcap cells</t>
  </si>
  <si>
    <t>Yahoo Finance analysis-page vendor consensus (2026-10-09): revenue $B Q3FY27 108.98 / Q4FY27 124.48 / FY27 411.65 / FY28 692.21; non-GAAP EPS 2.47 / 2.75 / 9.31 / 15.91 (n=42–57 by column); 30d revisions FY27 43 up/1 down, FY28 46 up/0 down; FY2029E EPS not printed — sourced from the Zacks set (Nasdaq API, access 2026-10-09, n=7)</t>
  </si>
  <si>
    <t>https://finance.yahoo.com/quote/NVDA/analysis/</t>
  </si>
  <si>
    <t>n/a — page capture, not hashed</t>
  </si>
  <si>
    <t>Feeds the Raw_Data FREE-TIER TAPE block (rows 340–344); FY2029E EPS = Zacks set (access 2026-10-09)</t>
  </si>
  <si>
    <t>supplemental sell-side research (2026-09-28)</t>
  </si>
  <si>
    <t>2 sell-side research reports on the 2026-09-28 +$150B share-repurchase authorization (total $235B through FY28): Citi id=9376213 (Buy, TP $315 maintained) · HSBC id=9376698 (Buy, TP $365 maintained)</t>
  </si>
  <si>
    <t>2 sell-side research reports; bank/date citations retained</t>
  </si>
  <si>
    <t>n/a</t>
  </si>
  <si>
    <t>Sell-side research; bank/date/page citations retained.</t>
  </si>
  <si>
    <t>Street-TP vendor aggregates (2026-10-06/08): vcpscanner mean 338.96 / median 322.50 / range 210–515 (n=79) · Zacks mean ≈328.66, range 180–515 · Public mean 329.78</t>
  </si>
  <si>
    <t>https://vcpscanner.com/stock/nvda/price-target</t>
  </si>
  <si>
    <t>Vendor dispersion mean 328.7–339.0 noted</t>
  </si>
  <si>
    <t>treasury.gov par yield curve (2026-10-08)</t>
  </si>
  <si>
    <t>US Treasury daily par yield curve — 10Y = 5.22% at 2026-10-08 (2Y 4.75 · 5Y 4.99 · 30Y 5.60)</t>
  </si>
  <si>
    <t>https://home.treasury.gov/resource-center/data-chart-center/interest-rates/</t>
  </si>
  <si>
    <t>n/a — live page capture</t>
  </si>
  <si>
    <t>Feeds DCF!B8 risk-free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</si>
</sst>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
    <numFmt numFmtId="177" formatCode="\$#,##0"/>
    <numFmt numFmtId="178" formatCode="0\x"/>
    <numFmt numFmtId="179" formatCode="0.0"/>
    <numFmt numFmtId="180" formatCode="0.0\%"/>
    <numFmt numFmtId="181" formatCode="\$0.00"/>
    <numFmt numFmtId="184" formatCode="yyyy\-mm\-dd"/>
    <numFmt numFmtId="185" formatCode="0.0%;\(0.0%\)"/>
    <numFmt numFmtId="186" formatCode="#,##0;\(#,##0\);\–"/>
    <numFmt numFmtId="187" formatCode="#,##0.00;\(#,##0.00\);\–"/>
    <numFmt numFmtId="188" formatCode="0.00;\(0.00\)"/>
    <numFmt numFmtId="189" formatCode="#,##0;\(#,##0\)"/>
    <numFmt numFmtId="190" formatCode="#,##0&quot; bps&quot;;\(#,##0&quot; bps)&quot;"/>
    <numFmt numFmtId="191" formatCode="#,##0.0&quot; pp&quot;;\(#,##0.0&quot; pp)&quot;"/>
    <numFmt numFmtId="192" formatCode="#,##0.0"/>
    <numFmt numFmtId="193" formatCode="0.0\x"/>
    <numFmt numFmtId="194" formatCode="0.0000"/>
    <numFmt numFmtId="195" formatCode="0.000"/>
    <numFmt numFmtId="196" formatCode="0.0000%"/>
    <numFmt numFmtId="197" formatCode="#,##0.000"/>
  </numFmts>
  <fonts count="62" x14ac:knownFonts="1">
    <font>
      <sz val="11"/>
      <color theme="1"/>
      <name val="Arial"/>
      <charset val="1"/>
    </font>
    <font>
      <b/>
      <sz val="8"/>
      <color rgb="FF8FA3B0"/>
      <name val="Arial"/>
      <family val="2"/>
      <charset val="1"/>
    </font>
    <font>
      <b/>
      <sz val="19"/>
      <color rgb="FFFFFFFF"/>
      <name val="Arial"/>
      <family val="2"/>
      <charset val="1"/>
    </font>
    <font>
      <sz val="10"/>
      <color rgb="FFBFD3DE"/>
      <name val="Arial"/>
      <family val="2"/>
      <charset val="1"/>
    </font>
    <font>
      <sz val="8"/>
      <color rgb="FF8FA3B0"/>
      <name val="Arial"/>
      <family val="2"/>
      <charset val="1"/>
    </font>
    <font>
      <b/>
      <sz val="20"/>
      <color rgb="FF051C2C"/>
      <name val="Arial"/>
      <family val="2"/>
      <charset val="1"/>
    </font>
    <font>
      <b/>
      <sz val="20"/>
      <color rgb="FF00A9F4"/>
      <name val="Arial"/>
      <family val="2"/>
      <charset val="1"/>
    </font>
    <font>
      <b/>
      <sz val="7.5"/>
      <color rgb="FF666666"/>
      <name val="Arial"/>
      <family val="2"/>
      <charset val="1"/>
    </font>
    <font>
      <sz val="8.5"/>
      <color rgb="FF999999"/>
      <name val="Arial"/>
      <family val="2"/>
      <charset val="1"/>
    </font>
    <font>
      <b/>
      <sz val="8"/>
      <color rgb="FF006BA6"/>
      <name val="Arial"/>
      <family val="2"/>
      <charset val="1"/>
    </font>
    <font>
      <b/>
      <sz val="12"/>
      <color rgb="FF000000"/>
      <name val="Arial"/>
      <family val="2"/>
      <charset val="1"/>
    </font>
    <font>
      <sz val="8.5"/>
      <color rgb="FF666666"/>
      <name val="Arial"/>
      <family val="2"/>
      <charset val="1"/>
    </font>
    <font>
      <b/>
      <sz val="8"/>
      <color rgb="FF666666"/>
      <name val="Arial"/>
      <family val="2"/>
      <charset val="1"/>
    </font>
    <font>
      <sz val="8.5"/>
      <color rgb="FF333333"/>
      <name val="Arial"/>
      <family val="2"/>
      <charset val="1"/>
    </font>
    <font>
      <b/>
      <sz val="9"/>
      <color rgb="FFFFFFFF"/>
      <name val="Arial"/>
      <family val="2"/>
      <charset val="1"/>
    </font>
    <font>
      <sz val="7.5"/>
      <color rgb="FF666666"/>
      <name val="Arial"/>
      <family val="2"/>
      <charset val="1"/>
    </font>
    <font>
      <sz val="7.5"/>
      <color rgb="FF999999"/>
      <name val="Arial"/>
      <family val="2"/>
      <charset val="1"/>
    </font>
    <font>
      <b/>
      <sz val="9"/>
      <color rgb="FF051C2C"/>
      <name val="Arial"/>
      <family val="2"/>
      <charset val="1"/>
    </font>
    <font>
      <b/>
      <sz val="8"/>
      <color rgb="FFFFFFFF"/>
      <name val="Arial"/>
      <family val="2"/>
      <charset val="1"/>
    </font>
    <font>
      <sz val="9"/>
      <color rgb="FF000000"/>
      <name val="Arial"/>
      <family val="2"/>
      <charset val="1"/>
    </font>
    <font>
      <b/>
      <sz val="9"/>
      <color rgb="FF000000"/>
      <name val="Arial"/>
      <family val="2"/>
      <charset val="1"/>
    </font>
    <font>
      <sz val="8"/>
      <color rgb="FF666666"/>
      <name val="Arial"/>
      <family val="2"/>
      <charset val="1"/>
    </font>
    <font>
      <b/>
      <sz val="8"/>
      <color rgb="FF333333"/>
      <name val="Arial"/>
      <family val="2"/>
      <charset val="1"/>
    </font>
    <font>
      <sz val="8"/>
      <color rgb="FF000000"/>
      <name val="Arial"/>
      <family val="2"/>
      <charset val="1"/>
    </font>
    <font>
      <sz val="8"/>
      <color rgb="FF333333"/>
      <name val="Arial"/>
      <family val="2"/>
      <charset val="1"/>
    </font>
    <font>
      <sz val="8"/>
      <color rgb="FF999999"/>
      <name val="Arial"/>
      <family val="2"/>
      <charset val="1"/>
    </font>
    <font>
      <sz val="8"/>
      <name val="Arial"/>
      <family val="2"/>
      <charset val="1"/>
    </font>
    <font>
      <b/>
      <sz val="24"/>
      <color rgb="FFFFFFFF"/>
      <name val="Arial"/>
      <family val="2"/>
      <charset val="1"/>
    </font>
    <font>
      <sz val="10"/>
      <color rgb="FF000000"/>
      <name val="Arial"/>
      <family val="2"/>
      <charset val="1"/>
    </font>
    <font>
      <b/>
      <sz val="11"/>
      <color rgb="FFFFFFFF"/>
      <name val="Arial"/>
      <family val="2"/>
      <charset val="1"/>
    </font>
    <font>
      <sz val="9"/>
      <color rgb="FF7F7F7F"/>
      <name val="Arial"/>
      <family val="2"/>
      <charset val="1"/>
    </font>
    <font>
      <b/>
      <sz val="10"/>
      <color rgb="FF000000"/>
      <name val="Arial"/>
      <family val="2"/>
      <charset val="1"/>
    </font>
    <font>
      <sz val="10"/>
      <color rgb="FF7F7F7F"/>
      <name val="Arial"/>
      <family val="2"/>
      <charset val="1"/>
    </font>
    <font>
      <sz val="10"/>
      <name val="Arial"/>
      <family val="2"/>
      <charset val="1"/>
    </font>
    <font>
      <sz val="8"/>
      <color rgb="FF7F7F7F"/>
      <name val="Arial"/>
      <family val="2"/>
      <charset val="1"/>
    </font>
    <font>
      <sz val="9"/>
      <color rgb="FF0000CC"/>
      <name val="Arial"/>
      <family val="2"/>
      <charset val="1"/>
    </font>
    <font>
      <sz val="9"/>
      <color rgb="FFFFFFFF"/>
      <name val="Arial"/>
      <family val="2"/>
      <charset val="1"/>
    </font>
    <font>
      <b/>
      <sz val="15"/>
      <color rgb="FFFFFFFF"/>
      <name val="Arial"/>
      <family val="2"/>
      <charset val="1"/>
    </font>
    <font>
      <b/>
      <sz val="10"/>
      <color rgb="FFFFFFFF"/>
      <name val="Arial"/>
      <family val="2"/>
      <charset val="1"/>
    </font>
    <font>
      <sz val="10"/>
      <color theme="0" tint="-0.499984740745262"/>
      <name val="Arial"/>
      <family val="2"/>
      <charset val="1"/>
    </font>
    <font>
      <sz val="8"/>
      <color theme="0" tint="-0.499984740745262"/>
      <name val="Arial"/>
      <family val="2"/>
      <charset val="1"/>
    </font>
    <font>
      <sz val="11"/>
      <color theme="0" tint="-0.499984740745262"/>
      <name val="Arial"/>
      <family val="2"/>
      <charset val="1"/>
    </font>
    <font>
      <i/>
      <sz val="10"/>
      <color rgb="FF7F7F7F"/>
      <name val="Arial"/>
      <family val="2"/>
      <charset val="1"/>
    </font>
    <font>
      <sz val="10"/>
      <color rgb="FFFFFFFF"/>
      <name val="Arial"/>
      <family val="2"/>
      <charset val="1"/>
    </font>
    <font>
      <sz val="10"/>
      <color rgb="FF0000CC"/>
      <name val="Arial"/>
      <family val="2"/>
      <charset val="1"/>
    </font>
    <font>
      <sz val="11"/>
      <color rgb="FF000000"/>
      <name val="Arial"/>
      <family val="2"/>
      <charset val="1"/>
    </font>
    <font>
      <sz val="10"/>
      <color theme="1"/>
      <name val="Arial"/>
      <family val="2"/>
      <charset val="1"/>
    </font>
    <font>
      <b/>
      <sz val="11"/>
      <color rgb="FF000000"/>
      <name val="Arial"/>
      <family val="2"/>
      <charset val="1"/>
    </font>
    <font>
      <sz val="11"/>
      <color rgb="FF0000CC"/>
      <name val="Arial"/>
      <family val="2"/>
      <charset val="1"/>
    </font>
    <font>
      <b/>
      <sz val="11"/>
      <color theme="1"/>
      <name val="Arial"/>
      <family val="2"/>
      <charset val="1"/>
    </font>
    <font>
      <sz val="11"/>
      <color rgb="FF7F7F7F"/>
      <name val="Arial"/>
      <family val="2"/>
      <charset val="1"/>
    </font>
    <font>
      <sz val="11"/>
      <color rgb="FFFF0000"/>
      <name val="Arial"/>
      <family val="2"/>
      <charset val="1"/>
    </font>
    <font>
      <b/>
      <sz val="10"/>
      <color rgb="FF7F7F7F"/>
      <name val="Arial"/>
      <family val="2"/>
      <charset val="1"/>
    </font>
    <font>
      <b/>
      <sz val="10"/>
      <color rgb="FF808080"/>
      <name val="Arial"/>
      <family val="2"/>
      <charset val="1"/>
    </font>
    <font>
      <b/>
      <sz val="10"/>
      <color theme="0" tint="-0.499984740745262"/>
      <name val="Arial"/>
      <family val="2"/>
      <charset val="1"/>
    </font>
    <font>
      <b/>
      <sz val="11"/>
      <color theme="0" tint="-0.499984740745262"/>
      <name val="Arial"/>
      <family val="2"/>
      <charset val="1"/>
    </font>
    <font>
      <b/>
      <sz val="10"/>
      <color theme="1"/>
      <name val="Arial"/>
      <family val="2"/>
      <charset val="1"/>
    </font>
    <font>
      <u/>
      <sz val="11"/>
      <color theme="1"/>
      <name val="Arial"/>
      <family val="2"/>
      <charset val="1"/>
    </font>
    <font>
      <b/>
      <sz val="10"/>
      <color rgb="FF0000CC"/>
      <name val="Arial"/>
      <family val="2"/>
      <charset val="1"/>
    </font>
    <font>
      <u/>
      <sz val="11"/>
      <color theme="0" tint="-0.499984740745262"/>
      <name val="Arial"/>
      <family val="2"/>
      <charset val="1"/>
    </font>
    <font>
      <b/>
      <sz val="10"/>
      <name val="Arial"/>
      <family val="2"/>
      <charset val="1"/>
    </font>
    <font>
      <sz val="9"/>
      <name val="FangSong"/>
      <family val="3"/>
      <charset val="134"/>
    </font>
  </fonts>
  <fills count="15">
    <fill>
      <patternFill patternType="none"/>
    </fill>
    <fill>
      <patternFill patternType="gray125"/>
    </fill>
    <fill>
      <patternFill patternType="solid">
        <fgColor rgb="FF051C2C"/>
        <bgColor rgb="FF000000"/>
      </patternFill>
    </fill>
    <fill>
      <patternFill patternType="solid">
        <fgColor rgb="FF00A9F4"/>
        <bgColor rgb="FF008080"/>
      </patternFill>
    </fill>
    <fill>
      <patternFill patternType="solid">
        <fgColor rgb="FFF2F2F2"/>
        <bgColor rgb="FFEDEDED"/>
      </patternFill>
    </fill>
    <fill>
      <patternFill patternType="solid">
        <fgColor rgb="FFDFEEF9"/>
        <bgColor rgb="FFDDEBF7"/>
      </patternFill>
    </fill>
    <fill>
      <patternFill patternType="solid">
        <fgColor rgb="FFC8E2F3"/>
        <bgColor rgb="FFDDEBF7"/>
      </patternFill>
    </fill>
    <fill>
      <patternFill patternType="solid">
        <fgColor rgb="FFA8D0EA"/>
        <bgColor rgb="FFBFD3DE"/>
      </patternFill>
    </fill>
    <fill>
      <patternFill patternType="solid">
        <fgColor rgb="FF7FB9DD"/>
        <bgColor rgb="FF7FB3D8"/>
      </patternFill>
    </fill>
    <fill>
      <patternFill patternType="solid">
        <fgColor rgb="FF1F3864"/>
        <bgColor rgb="FF24435A"/>
      </patternFill>
    </fill>
    <fill>
      <patternFill patternType="solid">
        <fgColor rgb="FFEDEDED"/>
        <bgColor rgb="FFF2F2F2"/>
      </patternFill>
    </fill>
    <fill>
      <patternFill patternType="solid">
        <fgColor rgb="FFFFF2CC"/>
        <bgColor rgb="FFF2F2F2"/>
      </patternFill>
    </fill>
    <fill>
      <patternFill patternType="solid">
        <fgColor rgb="FFDDEBF7"/>
        <bgColor rgb="FFDFEEF9"/>
      </patternFill>
    </fill>
    <fill>
      <patternFill patternType="solid">
        <fgColor rgb="FFFFFFFF"/>
        <bgColor rgb="FFF2F2F2"/>
      </patternFill>
    </fill>
    <fill>
      <patternFill patternType="solid">
        <fgColor rgb="FFE9F1FB"/>
        <bgColor rgb="FFE3F2FD"/>
      </patternFill>
    </fill>
  </fills>
  <borders count="6">
    <border>
      <left/>
      <right/>
      <top/>
      <bottom/>
      <diagonal/>
    </border>
    <border>
      <left/>
      <right/>
      <top style="thin">
        <color auto="1"/>
      </top>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right/>
      <top/>
      <bottom style="thin">
        <color rgb="FF9A9A9A"/>
      </bottom>
      <diagonal/>
    </border>
  </borders>
  <cellStyleXfs count="1">
    <xf numFmtId="0" fontId="0" fillId="0" borderId="0"/>
  </cellStyleXfs>
  <cellXfs count="343">
    <xf numFmtId="0" fontId="0" fillId="0" borderId="0" xfId="0"/>
    <xf numFmtId="177" fontId="19" fillId="7" borderId="0" xfId="0" applyNumberFormat="1" applyFont="1" applyFill="1" applyAlignment="1">
      <alignment horizontal="center"/>
    </xf>
    <xf numFmtId="177" fontId="19" fillId="6" borderId="0" xfId="0" applyNumberFormat="1" applyFont="1" applyFill="1" applyAlignment="1">
      <alignment horizontal="center"/>
    </xf>
    <xf numFmtId="177" fontId="19" fillId="5" borderId="0" xfId="0" applyNumberFormat="1" applyFont="1" applyFill="1" applyAlignment="1">
      <alignment horizontal="center"/>
    </xf>
    <xf numFmtId="176" fontId="18" fillId="2" borderId="0" xfId="0" applyNumberFormat="1" applyFont="1" applyFill="1" applyAlignment="1">
      <alignment horizontal="center"/>
    </xf>
    <xf numFmtId="0" fontId="10" fillId="0" borderId="0" xfId="0" applyFont="1"/>
    <xf numFmtId="0" fontId="14" fillId="2" borderId="0" xfId="0" applyFont="1" applyFill="1" applyAlignment="1">
      <alignment horizontal="center" vertical="center" wrapText="1"/>
    </xf>
    <xf numFmtId="0" fontId="13" fillId="4" borderId="0" xfId="0" applyFont="1" applyFill="1" applyAlignment="1">
      <alignment horizontal="left" vertical="center" wrapText="1"/>
    </xf>
    <xf numFmtId="0" fontId="11" fillId="0" borderId="0" xfId="0" applyFont="1"/>
    <xf numFmtId="0" fontId="8" fillId="0" borderId="0" xfId="0" applyFont="1"/>
    <xf numFmtId="0" fontId="7" fillId="0" borderId="0" xfId="0" applyFont="1"/>
    <xf numFmtId="0" fontId="6" fillId="0" borderId="0" xfId="0" applyFont="1" applyAlignment="1">
      <alignment horizontal="left"/>
    </xf>
    <xf numFmtId="0" fontId="5" fillId="0" borderId="0" xfId="0" applyFont="1" applyAlignment="1">
      <alignment horizontal="left"/>
    </xf>
    <xf numFmtId="0" fontId="3" fillId="2" borderId="0" xfId="0" applyFont="1" applyFill="1"/>
    <xf numFmtId="0" fontId="2" fillId="2" borderId="0" xfId="0" applyFont="1" applyFill="1"/>
    <xf numFmtId="0" fontId="0" fillId="2" borderId="0" xfId="0" applyFill="1"/>
    <xf numFmtId="0" fontId="1" fillId="2" borderId="0" xfId="0" applyFont="1" applyFill="1"/>
    <xf numFmtId="0" fontId="4" fillId="2" borderId="0" xfId="0" applyFont="1" applyFill="1"/>
    <xf numFmtId="0" fontId="0" fillId="3" borderId="0" xfId="0" applyFill="1"/>
    <xf numFmtId="0" fontId="9" fillId="0" borderId="0" xfId="0" applyFont="1"/>
    <xf numFmtId="0" fontId="10" fillId="0" borderId="0" xfId="0" applyFont="1"/>
    <xf numFmtId="0" fontId="12" fillId="0" borderId="0" xfId="0" applyFont="1"/>
    <xf numFmtId="0" fontId="6" fillId="0" borderId="0" xfId="0" applyFont="1" applyAlignment="1">
      <alignment horizontal="center"/>
    </xf>
    <xf numFmtId="0" fontId="15" fillId="0" borderId="0" xfId="0" applyFont="1"/>
    <xf numFmtId="0" fontId="16" fillId="0" borderId="0" xfId="0" applyFont="1"/>
    <xf numFmtId="0" fontId="17" fillId="0" borderId="0" xfId="0" applyFont="1"/>
    <xf numFmtId="0" fontId="18" fillId="2" borderId="0" xfId="0" applyFont="1" applyFill="1" applyAlignment="1">
      <alignment horizontal="center"/>
    </xf>
    <xf numFmtId="176" fontId="18" fillId="2" borderId="0" xfId="0" applyNumberFormat="1" applyFont="1" applyFill="1" applyAlignment="1">
      <alignment horizontal="center"/>
    </xf>
    <xf numFmtId="177" fontId="19" fillId="5" borderId="0" xfId="0" applyNumberFormat="1" applyFont="1" applyFill="1" applyAlignment="1">
      <alignment horizontal="center"/>
    </xf>
    <xf numFmtId="177" fontId="19" fillId="6" borderId="0" xfId="0" applyNumberFormat="1" applyFont="1" applyFill="1" applyAlignment="1">
      <alignment horizontal="center"/>
    </xf>
    <xf numFmtId="178" fontId="18" fillId="2" borderId="0" xfId="0" applyNumberFormat="1" applyFont="1" applyFill="1" applyAlignment="1">
      <alignment horizontal="center"/>
    </xf>
    <xf numFmtId="0" fontId="21" fillId="0" borderId="0" xfId="0" applyFont="1"/>
    <xf numFmtId="0" fontId="22" fillId="0" borderId="0" xfId="0" applyFont="1"/>
    <xf numFmtId="0" fontId="0" fillId="0" borderId="1" xfId="0" applyBorder="1"/>
    <xf numFmtId="0" fontId="16" fillId="0" borderId="0" xfId="0" applyFont="1" applyAlignment="1">
      <alignment horizontal="right"/>
    </xf>
    <xf numFmtId="0" fontId="18" fillId="2" borderId="0" xfId="0" applyFont="1" applyFill="1"/>
    <xf numFmtId="0" fontId="23" fillId="0" borderId="0" xfId="0" applyFont="1" applyAlignment="1">
      <alignment horizontal="right"/>
    </xf>
    <xf numFmtId="3" fontId="23" fillId="0" borderId="0" xfId="0" applyNumberFormat="1" applyFont="1" applyAlignment="1">
      <alignment horizontal="right"/>
    </xf>
    <xf numFmtId="9" fontId="23" fillId="0" borderId="0" xfId="0" applyNumberFormat="1" applyFont="1" applyAlignment="1">
      <alignment horizontal="right"/>
    </xf>
    <xf numFmtId="3" fontId="24" fillId="0" borderId="0" xfId="0" applyNumberFormat="1" applyFont="1" applyAlignment="1">
      <alignment horizontal="right"/>
    </xf>
    <xf numFmtId="0" fontId="25" fillId="0" borderId="0" xfId="0" applyFont="1"/>
    <xf numFmtId="179" fontId="23" fillId="0" borderId="0" xfId="0" applyNumberFormat="1" applyFont="1" applyAlignment="1">
      <alignment horizontal="right"/>
    </xf>
    <xf numFmtId="176" fontId="23" fillId="0" borderId="0" xfId="0" applyNumberFormat="1" applyFont="1" applyAlignment="1">
      <alignment horizontal="right"/>
    </xf>
    <xf numFmtId="176" fontId="24" fillId="0" borderId="0" xfId="0" applyNumberFormat="1" applyFont="1" applyAlignment="1">
      <alignment horizontal="right"/>
    </xf>
    <xf numFmtId="0" fontId="26" fillId="0" borderId="0" xfId="0" applyFont="1"/>
    <xf numFmtId="0" fontId="26" fillId="0" borderId="0" xfId="0" applyFont="1" applyAlignment="1">
      <alignment horizontal="right"/>
    </xf>
    <xf numFmtId="177" fontId="26" fillId="0" borderId="0" xfId="0" applyNumberFormat="1" applyFont="1" applyAlignment="1">
      <alignment horizontal="right"/>
    </xf>
    <xf numFmtId="177" fontId="26" fillId="0" borderId="0" xfId="0" applyNumberFormat="1" applyFont="1"/>
    <xf numFmtId="177" fontId="23" fillId="0" borderId="0" xfId="0" applyNumberFormat="1" applyFont="1" applyAlignment="1">
      <alignment horizontal="right"/>
    </xf>
    <xf numFmtId="180" fontId="23" fillId="0" borderId="0" xfId="0" applyNumberFormat="1" applyFont="1" applyAlignment="1">
      <alignment horizontal="right"/>
    </xf>
    <xf numFmtId="181" fontId="23" fillId="0" borderId="0" xfId="0" applyNumberFormat="1" applyFont="1" applyAlignment="1">
      <alignment horizontal="right"/>
    </xf>
    <xf numFmtId="0" fontId="27" fillId="9" borderId="0" xfId="0" applyFont="1" applyFill="1"/>
    <xf numFmtId="0" fontId="28" fillId="9" borderId="0" xfId="0" applyFont="1" applyFill="1"/>
    <xf numFmtId="0" fontId="29" fillId="9" borderId="0" xfId="0" applyFont="1" applyFill="1"/>
    <xf numFmtId="0" fontId="14" fillId="9" borderId="0" xfId="0" applyFont="1" applyFill="1"/>
    <xf numFmtId="0" fontId="30" fillId="0" borderId="0" xfId="0" applyFont="1"/>
    <xf numFmtId="0" fontId="31" fillId="0" borderId="0" xfId="0" applyFont="1"/>
    <xf numFmtId="0" fontId="28" fillId="0" borderId="0" xfId="0" applyFont="1"/>
    <xf numFmtId="0" fontId="32" fillId="0" borderId="0" xfId="0" applyFont="1"/>
    <xf numFmtId="0" fontId="31" fillId="10" borderId="0" xfId="0" applyFont="1" applyFill="1"/>
    <xf numFmtId="0" fontId="28" fillId="10" borderId="0" xfId="0" applyFont="1" applyFill="1"/>
    <xf numFmtId="0" fontId="33" fillId="0" borderId="0" xfId="0" applyFont="1"/>
    <xf numFmtId="0" fontId="34" fillId="0" borderId="0" xfId="0" applyFont="1"/>
    <xf numFmtId="0" fontId="35" fillId="0" borderId="0" xfId="0" applyFont="1"/>
    <xf numFmtId="0" fontId="19" fillId="0" borderId="0" xfId="0" applyFont="1"/>
    <xf numFmtId="0" fontId="19" fillId="11" borderId="0" xfId="0" applyFont="1" applyFill="1"/>
    <xf numFmtId="0" fontId="19" fillId="12" borderId="0" xfId="0" applyFont="1" applyFill="1"/>
    <xf numFmtId="0" fontId="36" fillId="9" borderId="0" xfId="0" applyFont="1" applyFill="1"/>
    <xf numFmtId="0" fontId="37" fillId="9" borderId="0" xfId="0" applyFont="1" applyFill="1"/>
    <xf numFmtId="0" fontId="0" fillId="9" borderId="0" xfId="0" applyFill="1"/>
    <xf numFmtId="0" fontId="0" fillId="10" borderId="0" xfId="0" applyFill="1"/>
    <xf numFmtId="184" fontId="36" fillId="9" borderId="0" xfId="0" applyNumberFormat="1" applyFont="1" applyFill="1" applyAlignment="1">
      <alignment horizontal="center"/>
    </xf>
    <xf numFmtId="184" fontId="36" fillId="0" borderId="0" xfId="0" applyNumberFormat="1" applyFont="1" applyAlignment="1">
      <alignment horizontal="center"/>
    </xf>
    <xf numFmtId="0" fontId="38" fillId="9" borderId="0" xfId="0" applyFont="1" applyFill="1"/>
    <xf numFmtId="0" fontId="38" fillId="9" borderId="0" xfId="0" applyFont="1" applyFill="1" applyAlignment="1">
      <alignment horizontal="center"/>
    </xf>
    <xf numFmtId="0" fontId="38" fillId="0" borderId="0" xfId="0" applyFont="1" applyAlignment="1">
      <alignment horizontal="center"/>
    </xf>
    <xf numFmtId="185" fontId="28" fillId="0" borderId="0" xfId="0" applyNumberFormat="1" applyFont="1"/>
    <xf numFmtId="186" fontId="28" fillId="0" borderId="0" xfId="0" applyNumberFormat="1" applyFont="1"/>
    <xf numFmtId="0" fontId="32" fillId="0" borderId="0" xfId="0" applyFont="1" applyAlignment="1">
      <alignment horizontal="left" indent="1"/>
    </xf>
    <xf numFmtId="9" fontId="39" fillId="0" borderId="0" xfId="0" applyNumberFormat="1" applyFont="1"/>
    <xf numFmtId="0" fontId="39" fillId="0" borderId="0" xfId="0" applyFont="1"/>
    <xf numFmtId="0" fontId="40" fillId="0" borderId="0" xfId="0" applyFont="1" applyAlignment="1">
      <alignment horizontal="center"/>
    </xf>
    <xf numFmtId="0" fontId="41" fillId="0" borderId="0" xfId="0" applyFont="1"/>
    <xf numFmtId="185" fontId="39" fillId="0" borderId="0" xfId="0" applyNumberFormat="1" applyFont="1" applyAlignment="1">
      <alignment horizontal="right"/>
    </xf>
    <xf numFmtId="186" fontId="28" fillId="0" borderId="0" xfId="0" applyNumberFormat="1" applyFont="1" applyAlignment="1">
      <alignment horizontal="right"/>
    </xf>
    <xf numFmtId="185" fontId="28" fillId="0" borderId="0" xfId="0" applyNumberFormat="1" applyFont="1" applyAlignment="1">
      <alignment horizontal="right"/>
    </xf>
    <xf numFmtId="186" fontId="39" fillId="0" borderId="0" xfId="0" applyNumberFormat="1" applyFont="1"/>
    <xf numFmtId="0" fontId="32" fillId="0" borderId="0" xfId="0" applyFont="1" applyAlignment="1">
      <alignment horizontal="right"/>
    </xf>
    <xf numFmtId="187" fontId="28" fillId="0" borderId="0" xfId="0" applyNumberFormat="1" applyFont="1" applyAlignment="1">
      <alignment horizontal="right"/>
    </xf>
    <xf numFmtId="2" fontId="28" fillId="0" borderId="0" xfId="0" applyNumberFormat="1" applyFont="1" applyAlignment="1">
      <alignment horizontal="right"/>
    </xf>
    <xf numFmtId="0" fontId="34" fillId="0" borderId="0" xfId="0" applyFont="1" applyAlignment="1">
      <alignment horizontal="center"/>
    </xf>
    <xf numFmtId="0" fontId="42" fillId="0" borderId="0" xfId="0" applyFont="1"/>
    <xf numFmtId="188" fontId="28" fillId="0" borderId="0" xfId="0" applyNumberFormat="1" applyFont="1" applyAlignment="1">
      <alignment horizontal="right"/>
    </xf>
    <xf numFmtId="188" fontId="28" fillId="0" borderId="0" xfId="0" applyNumberFormat="1" applyFont="1"/>
    <xf numFmtId="188" fontId="31" fillId="0" borderId="0" xfId="0" applyNumberFormat="1" applyFont="1"/>
    <xf numFmtId="0" fontId="37" fillId="9" borderId="0" xfId="0" applyFont="1" applyFill="1" applyAlignment="1">
      <alignment horizontal="left" vertical="center"/>
    </xf>
    <xf numFmtId="0" fontId="31" fillId="0" borderId="0" xfId="0" applyFont="1" applyAlignment="1">
      <alignment horizontal="left" vertical="center"/>
    </xf>
    <xf numFmtId="0" fontId="28" fillId="0" borderId="0" xfId="0" applyFont="1" applyAlignment="1">
      <alignment horizontal="left" vertical="center"/>
    </xf>
    <xf numFmtId="184" fontId="43" fillId="9" borderId="0" xfId="0" applyNumberFormat="1" applyFont="1" applyFill="1" applyAlignment="1">
      <alignment horizontal="center"/>
    </xf>
    <xf numFmtId="0" fontId="38" fillId="9" borderId="0" xfId="0" applyFont="1" applyFill="1" applyAlignment="1">
      <alignment horizontal="left" vertical="center"/>
    </xf>
    <xf numFmtId="0" fontId="28" fillId="0" borderId="0" xfId="0" applyFont="1" applyAlignment="1">
      <alignment horizontal="center" vertical="center"/>
    </xf>
    <xf numFmtId="189" fontId="44" fillId="0" borderId="0" xfId="0" applyNumberFormat="1" applyFont="1" applyAlignment="1">
      <alignment horizontal="center" vertical="center"/>
    </xf>
    <xf numFmtId="0" fontId="30" fillId="0" borderId="0" xfId="0" applyFont="1" applyAlignment="1">
      <alignment horizontal="left" vertical="center"/>
    </xf>
    <xf numFmtId="185" fontId="28" fillId="0" borderId="0" xfId="0" applyNumberFormat="1" applyFont="1" applyAlignment="1">
      <alignment horizontal="center" vertical="center"/>
    </xf>
    <xf numFmtId="0" fontId="45" fillId="0" borderId="0" xfId="0" applyFont="1"/>
    <xf numFmtId="185" fontId="44" fillId="0" borderId="0" xfId="0" applyNumberFormat="1" applyFont="1" applyAlignment="1">
      <alignment horizontal="center" vertical="center"/>
    </xf>
    <xf numFmtId="190" fontId="28" fillId="0" borderId="0" xfId="0" applyNumberFormat="1" applyFont="1" applyAlignment="1">
      <alignment horizontal="center" vertical="center"/>
    </xf>
    <xf numFmtId="189" fontId="28" fillId="0" borderId="0" xfId="0" applyNumberFormat="1" applyFont="1" applyAlignment="1">
      <alignment horizontal="center" vertical="center"/>
    </xf>
    <xf numFmtId="191" fontId="28" fillId="0" borderId="0" xfId="0" applyNumberFormat="1" applyFont="1" applyAlignment="1">
      <alignment horizontal="center" vertical="center"/>
    </xf>
    <xf numFmtId="0" fontId="28" fillId="0" borderId="0" xfId="0" applyFont="1" applyAlignment="1">
      <alignment horizontal="left" vertical="top"/>
    </xf>
    <xf numFmtId="0" fontId="28" fillId="0" borderId="0" xfId="0" applyFont="1" applyAlignment="1">
      <alignment horizontal="left" vertical="top" wrapText="1"/>
    </xf>
    <xf numFmtId="0" fontId="0" fillId="0" borderId="0" xfId="0" applyAlignment="1">
      <alignment wrapText="1"/>
    </xf>
    <xf numFmtId="0" fontId="30" fillId="0" borderId="0" xfId="0" applyFont="1" applyAlignment="1">
      <alignment horizontal="left" vertical="top"/>
    </xf>
    <xf numFmtId="0" fontId="31" fillId="4" borderId="0" xfId="0" applyFont="1" applyFill="1" applyAlignment="1">
      <alignment horizontal="left" vertical="center"/>
    </xf>
    <xf numFmtId="0" fontId="0" fillId="4" borderId="0" xfId="0" applyFill="1"/>
    <xf numFmtId="0" fontId="31" fillId="0" borderId="0" xfId="0" applyFont="1" applyAlignment="1">
      <alignment horizontal="center" vertical="center"/>
    </xf>
    <xf numFmtId="189" fontId="28" fillId="0" borderId="0" xfId="0" applyNumberFormat="1" applyFont="1" applyAlignment="1">
      <alignment horizontal="left" vertical="center"/>
    </xf>
    <xf numFmtId="185" fontId="46" fillId="0" borderId="0" xfId="0" applyNumberFormat="1" applyFont="1" applyAlignment="1">
      <alignment horizontal="center" vertical="center"/>
    </xf>
    <xf numFmtId="9" fontId="33" fillId="0" borderId="0" xfId="0" applyNumberFormat="1" applyFont="1" applyAlignment="1">
      <alignment horizontal="center" vertical="center"/>
    </xf>
    <xf numFmtId="0" fontId="31" fillId="13" borderId="0" xfId="0" applyFont="1" applyFill="1" applyAlignment="1">
      <alignment horizontal="center" vertical="center" wrapText="1"/>
    </xf>
    <xf numFmtId="0" fontId="31" fillId="13" borderId="2" xfId="0" applyFont="1" applyFill="1" applyBorder="1" applyAlignment="1">
      <alignment horizontal="center" vertical="center" wrapText="1"/>
    </xf>
    <xf numFmtId="0" fontId="47" fillId="4" borderId="0" xfId="0" applyFont="1" applyFill="1" applyAlignment="1">
      <alignment horizontal="left" vertical="center"/>
    </xf>
    <xf numFmtId="0" fontId="0" fillId="4" borderId="2" xfId="0" applyFill="1" applyBorder="1"/>
    <xf numFmtId="0" fontId="48" fillId="14" borderId="0" xfId="0" applyFont="1" applyFill="1" applyAlignment="1">
      <alignment horizontal="left" vertical="center"/>
    </xf>
    <xf numFmtId="0" fontId="48" fillId="14" borderId="0" xfId="0" applyFont="1" applyFill="1" applyAlignment="1">
      <alignment horizontal="center" vertical="center"/>
    </xf>
    <xf numFmtId="0" fontId="48" fillId="14" borderId="0" xfId="0" applyFont="1" applyFill="1" applyAlignment="1">
      <alignment horizontal="center" vertical="center" wrapText="1"/>
    </xf>
    <xf numFmtId="0" fontId="48" fillId="14" borderId="0" xfId="0" applyFont="1" applyFill="1" applyAlignment="1">
      <alignment horizontal="left" vertical="center" wrapText="1"/>
    </xf>
    <xf numFmtId="192" fontId="0" fillId="14" borderId="0" xfId="0" applyNumberFormat="1" applyFill="1" applyAlignment="1">
      <alignment horizontal="center" vertical="center"/>
    </xf>
    <xf numFmtId="192" fontId="48" fillId="14" borderId="0" xfId="0" applyNumberFormat="1" applyFont="1" applyFill="1" applyAlignment="1">
      <alignment horizontal="center" vertical="center"/>
    </xf>
    <xf numFmtId="192" fontId="48" fillId="14" borderId="2" xfId="0" applyNumberFormat="1" applyFont="1" applyFill="1" applyBorder="1" applyAlignment="1">
      <alignment horizontal="center" vertical="center"/>
    </xf>
    <xf numFmtId="193" fontId="0" fillId="14" borderId="2" xfId="0" applyNumberFormat="1" applyFill="1" applyBorder="1" applyAlignment="1">
      <alignment horizontal="center" vertical="center"/>
    </xf>
    <xf numFmtId="193" fontId="0" fillId="14" borderId="0" xfId="0" applyNumberFormat="1" applyFill="1" applyAlignment="1">
      <alignment horizontal="center" vertical="center"/>
    </xf>
    <xf numFmtId="193" fontId="48" fillId="14" borderId="0" xfId="0" applyNumberFormat="1" applyFont="1" applyFill="1" applyAlignment="1">
      <alignment horizontal="center" vertical="center"/>
    </xf>
    <xf numFmtId="0" fontId="0" fillId="14" borderId="0" xfId="0" applyFill="1" applyAlignment="1">
      <alignment horizontal="center" vertical="center"/>
    </xf>
    <xf numFmtId="176" fontId="0" fillId="14" borderId="2" xfId="0" applyNumberFormat="1" applyFill="1" applyBorder="1" applyAlignment="1">
      <alignment horizontal="center" vertical="center"/>
    </xf>
    <xf numFmtId="176" fontId="48" fillId="14" borderId="0" xfId="0" applyNumberFormat="1" applyFont="1" applyFill="1" applyAlignment="1">
      <alignment horizontal="center" vertical="center"/>
    </xf>
    <xf numFmtId="176" fontId="0" fillId="14" borderId="0" xfId="0" applyNumberFormat="1" applyFill="1" applyAlignment="1">
      <alignment horizontal="center" vertical="center"/>
    </xf>
    <xf numFmtId="0" fontId="48" fillId="14" borderId="2" xfId="0" applyFont="1" applyFill="1" applyBorder="1" applyAlignment="1">
      <alignment horizontal="left" vertical="center" wrapText="1"/>
    </xf>
    <xf numFmtId="176" fontId="0" fillId="14" borderId="0" xfId="0" applyNumberFormat="1" applyFill="1" applyAlignment="1">
      <alignment horizontal="left" vertical="center" wrapText="1"/>
    </xf>
    <xf numFmtId="0" fontId="48" fillId="13" borderId="0" xfId="0" applyFont="1" applyFill="1" applyAlignment="1">
      <alignment horizontal="left" vertical="center"/>
    </xf>
    <xf numFmtId="0" fontId="48" fillId="13" borderId="0" xfId="0" applyFont="1" applyFill="1" applyAlignment="1">
      <alignment horizontal="center" vertical="center"/>
    </xf>
    <xf numFmtId="0" fontId="48" fillId="13" borderId="0" xfId="0" applyFont="1" applyFill="1" applyAlignment="1">
      <alignment horizontal="center" vertical="center" wrapText="1"/>
    </xf>
    <xf numFmtId="0" fontId="48" fillId="13" borderId="0" xfId="0" applyFont="1" applyFill="1" applyAlignment="1">
      <alignment horizontal="left" vertical="center" wrapText="1"/>
    </xf>
    <xf numFmtId="192" fontId="48" fillId="13" borderId="0" xfId="0" applyNumberFormat="1" applyFont="1" applyFill="1" applyAlignment="1">
      <alignment horizontal="center" vertical="center"/>
    </xf>
    <xf numFmtId="192" fontId="0" fillId="13" borderId="0" xfId="0" applyNumberFormat="1" applyFill="1" applyAlignment="1">
      <alignment horizontal="center" vertical="center"/>
    </xf>
    <xf numFmtId="192" fontId="48" fillId="13" borderId="2" xfId="0" applyNumberFormat="1" applyFont="1" applyFill="1" applyBorder="1" applyAlignment="1">
      <alignment horizontal="center" vertical="center"/>
    </xf>
    <xf numFmtId="193" fontId="0" fillId="13" borderId="2" xfId="0" applyNumberFormat="1" applyFill="1" applyBorder="1" applyAlignment="1">
      <alignment horizontal="center" vertical="center"/>
    </xf>
    <xf numFmtId="193" fontId="0" fillId="13" borderId="0" xfId="0" applyNumberFormat="1" applyFill="1" applyAlignment="1">
      <alignment horizontal="center" vertical="center"/>
    </xf>
    <xf numFmtId="193" fontId="48" fillId="13" borderId="0" xfId="0" applyNumberFormat="1" applyFont="1" applyFill="1" applyAlignment="1">
      <alignment horizontal="center" vertical="center"/>
    </xf>
    <xf numFmtId="0" fontId="0" fillId="13" borderId="0" xfId="0" applyFill="1" applyAlignment="1">
      <alignment horizontal="center" vertical="center"/>
    </xf>
    <xf numFmtId="176" fontId="48" fillId="13" borderId="2" xfId="0" applyNumberFormat="1" applyFont="1" applyFill="1" applyBorder="1" applyAlignment="1">
      <alignment horizontal="center" vertical="center"/>
    </xf>
    <xf numFmtId="176" fontId="48" fillId="13" borderId="0" xfId="0" applyNumberFormat="1" applyFont="1" applyFill="1" applyAlignment="1">
      <alignment horizontal="center" vertical="center"/>
    </xf>
    <xf numFmtId="176" fontId="0" fillId="13" borderId="0" xfId="0" applyNumberFormat="1" applyFill="1" applyAlignment="1">
      <alignment horizontal="center" vertical="center"/>
    </xf>
    <xf numFmtId="0" fontId="48" fillId="13" borderId="2" xfId="0" applyFont="1" applyFill="1" applyBorder="1" applyAlignment="1">
      <alignment horizontal="left" vertical="center" wrapText="1"/>
    </xf>
    <xf numFmtId="179" fontId="0" fillId="13" borderId="0" xfId="0" applyNumberFormat="1" applyFill="1" applyAlignment="1">
      <alignment horizontal="center" vertical="center"/>
    </xf>
    <xf numFmtId="0" fontId="48" fillId="13" borderId="3" xfId="0" applyFont="1" applyFill="1" applyBorder="1" applyAlignment="1">
      <alignment horizontal="left" vertical="center"/>
    </xf>
    <xf numFmtId="0" fontId="48" fillId="13" borderId="3" xfId="0" applyFont="1" applyFill="1" applyBorder="1" applyAlignment="1">
      <alignment horizontal="center" vertical="center"/>
    </xf>
    <xf numFmtId="0" fontId="48" fillId="13" borderId="3" xfId="0" applyFont="1" applyFill="1" applyBorder="1" applyAlignment="1">
      <alignment horizontal="center" vertical="center" wrapText="1"/>
    </xf>
    <xf numFmtId="0" fontId="48" fillId="13" borderId="3" xfId="0" applyFont="1" applyFill="1" applyBorder="1" applyAlignment="1">
      <alignment horizontal="left" vertical="center" wrapText="1"/>
    </xf>
    <xf numFmtId="192" fontId="48" fillId="13" borderId="3" xfId="0" applyNumberFormat="1" applyFont="1" applyFill="1" applyBorder="1" applyAlignment="1">
      <alignment horizontal="center" vertical="center"/>
    </xf>
    <xf numFmtId="192" fontId="0" fillId="13" borderId="3" xfId="0" applyNumberFormat="1" applyFill="1" applyBorder="1" applyAlignment="1">
      <alignment horizontal="center" vertical="center"/>
    </xf>
    <xf numFmtId="192" fontId="48" fillId="13" borderId="4" xfId="0" applyNumberFormat="1" applyFont="1" applyFill="1" applyBorder="1" applyAlignment="1">
      <alignment horizontal="center" vertical="center"/>
    </xf>
    <xf numFmtId="193" fontId="0" fillId="13" borderId="4" xfId="0" applyNumberFormat="1" applyFill="1" applyBorder="1" applyAlignment="1">
      <alignment horizontal="center" vertical="center"/>
    </xf>
    <xf numFmtId="193" fontId="0" fillId="13" borderId="3" xfId="0" applyNumberFormat="1" applyFill="1" applyBorder="1" applyAlignment="1">
      <alignment horizontal="center" vertical="center"/>
    </xf>
    <xf numFmtId="193" fontId="48" fillId="13" borderId="3" xfId="0" applyNumberFormat="1" applyFont="1" applyFill="1" applyBorder="1" applyAlignment="1">
      <alignment horizontal="center" vertical="center"/>
    </xf>
    <xf numFmtId="0" fontId="0" fillId="13" borderId="3" xfId="0" applyFill="1" applyBorder="1" applyAlignment="1">
      <alignment horizontal="center" vertical="center"/>
    </xf>
    <xf numFmtId="176" fontId="48" fillId="13" borderId="4" xfId="0" applyNumberFormat="1" applyFont="1" applyFill="1" applyBorder="1" applyAlignment="1">
      <alignment horizontal="center" vertical="center"/>
    </xf>
    <xf numFmtId="176" fontId="48" fillId="13" borderId="3" xfId="0" applyNumberFormat="1" applyFont="1" applyFill="1" applyBorder="1" applyAlignment="1">
      <alignment horizontal="center" vertical="center"/>
    </xf>
    <xf numFmtId="176" fontId="0" fillId="13" borderId="3" xfId="0" applyNumberFormat="1" applyFill="1" applyBorder="1" applyAlignment="1">
      <alignment horizontal="center" vertical="center"/>
    </xf>
    <xf numFmtId="0" fontId="48" fillId="13" borderId="4" xfId="0" applyFont="1" applyFill="1" applyBorder="1" applyAlignment="1">
      <alignment horizontal="left" vertical="center" wrapText="1"/>
    </xf>
    <xf numFmtId="179" fontId="0" fillId="13" borderId="3" xfId="0" applyNumberFormat="1" applyFill="1" applyBorder="1" applyAlignment="1">
      <alignment horizontal="center" vertical="center"/>
    </xf>
    <xf numFmtId="0" fontId="49" fillId="13" borderId="0" xfId="0" applyFont="1" applyFill="1" applyAlignment="1">
      <alignment horizontal="left" vertical="center"/>
    </xf>
    <xf numFmtId="192" fontId="49" fillId="13" borderId="0" xfId="0" applyNumberFormat="1" applyFont="1" applyFill="1" applyAlignment="1">
      <alignment horizontal="center" vertical="center"/>
    </xf>
    <xf numFmtId="0" fontId="0" fillId="0" borderId="2" xfId="0" applyBorder="1"/>
    <xf numFmtId="193" fontId="49" fillId="13" borderId="2" xfId="0" applyNumberFormat="1" applyFont="1" applyFill="1" applyBorder="1" applyAlignment="1">
      <alignment horizontal="center" vertical="center"/>
    </xf>
    <xf numFmtId="193" fontId="49" fillId="13" borderId="0" xfId="0" applyNumberFormat="1" applyFont="1" applyFill="1" applyAlignment="1">
      <alignment horizontal="center" vertical="center"/>
    </xf>
    <xf numFmtId="176" fontId="49" fillId="13" borderId="2" xfId="0" applyNumberFormat="1" applyFont="1" applyFill="1" applyBorder="1" applyAlignment="1">
      <alignment horizontal="center" vertical="center"/>
    </xf>
    <xf numFmtId="176" fontId="49" fillId="13" borderId="0" xfId="0" applyNumberFormat="1" applyFont="1" applyFill="1" applyAlignment="1">
      <alignment horizontal="center" vertical="center"/>
    </xf>
    <xf numFmtId="0" fontId="49" fillId="4" borderId="0" xfId="0" applyFont="1" applyFill="1" applyAlignment="1">
      <alignment horizontal="left" vertical="center"/>
    </xf>
    <xf numFmtId="0" fontId="45" fillId="4" borderId="0" xfId="0" applyFont="1" applyFill="1"/>
    <xf numFmtId="192" fontId="48" fillId="13" borderId="0" xfId="0" applyNumberFormat="1" applyFont="1" applyFill="1" applyAlignment="1">
      <alignment horizontal="center" vertical="center" wrapText="1"/>
    </xf>
    <xf numFmtId="192" fontId="0" fillId="13" borderId="0" xfId="0" applyNumberFormat="1" applyFill="1" applyAlignment="1">
      <alignment horizontal="center" vertical="center" wrapText="1"/>
    </xf>
    <xf numFmtId="192" fontId="48" fillId="13" borderId="2" xfId="0" applyNumberFormat="1" applyFont="1" applyFill="1" applyBorder="1" applyAlignment="1">
      <alignment horizontal="center" vertical="center" wrapText="1"/>
    </xf>
    <xf numFmtId="193" fontId="0" fillId="13" borderId="2" xfId="0" applyNumberFormat="1" applyFill="1" applyBorder="1" applyAlignment="1">
      <alignment horizontal="center" vertical="center" wrapText="1"/>
    </xf>
    <xf numFmtId="193" fontId="0" fillId="13" borderId="0" xfId="0" applyNumberFormat="1" applyFill="1" applyAlignment="1">
      <alignment horizontal="center" vertical="center" wrapText="1"/>
    </xf>
    <xf numFmtId="193" fontId="48" fillId="13" borderId="0" xfId="0" applyNumberFormat="1" applyFont="1" applyFill="1" applyAlignment="1">
      <alignment horizontal="center" vertical="center" wrapText="1"/>
    </xf>
    <xf numFmtId="0" fontId="0" fillId="13" borderId="0" xfId="0" applyFill="1" applyAlignment="1">
      <alignment horizontal="center" vertical="center" wrapText="1"/>
    </xf>
    <xf numFmtId="176" fontId="48" fillId="13" borderId="2" xfId="0" applyNumberFormat="1" applyFont="1" applyFill="1" applyBorder="1" applyAlignment="1">
      <alignment horizontal="center" vertical="center" wrapText="1"/>
    </xf>
    <xf numFmtId="176" fontId="48" fillId="13" borderId="0" xfId="0" applyNumberFormat="1" applyFont="1" applyFill="1" applyAlignment="1">
      <alignment horizontal="center" vertical="center" wrapText="1"/>
    </xf>
    <xf numFmtId="176" fontId="0" fillId="13" borderId="0" xfId="0" applyNumberFormat="1" applyFill="1" applyAlignment="1">
      <alignment horizontal="center" vertical="center" wrapText="1"/>
    </xf>
    <xf numFmtId="179" fontId="0" fillId="13" borderId="0" xfId="0" applyNumberFormat="1" applyFill="1" applyAlignment="1">
      <alignment horizontal="center" vertical="center" wrapText="1"/>
    </xf>
    <xf numFmtId="192" fontId="48" fillId="13" borderId="3" xfId="0" applyNumberFormat="1" applyFont="1" applyFill="1" applyBorder="1" applyAlignment="1">
      <alignment horizontal="center" vertical="center" wrapText="1"/>
    </xf>
    <xf numFmtId="192" fontId="0" fillId="13" borderId="3" xfId="0" applyNumberFormat="1" applyFill="1" applyBorder="1" applyAlignment="1">
      <alignment horizontal="center" vertical="center" wrapText="1"/>
    </xf>
    <xf numFmtId="192" fontId="48" fillId="13" borderId="4" xfId="0" applyNumberFormat="1" applyFont="1" applyFill="1" applyBorder="1" applyAlignment="1">
      <alignment horizontal="center" vertical="center" wrapText="1"/>
    </xf>
    <xf numFmtId="193" fontId="0" fillId="13" borderId="4" xfId="0" applyNumberFormat="1" applyFill="1" applyBorder="1" applyAlignment="1">
      <alignment horizontal="center" vertical="center" wrapText="1"/>
    </xf>
    <xf numFmtId="193" fontId="0" fillId="13" borderId="3" xfId="0" applyNumberFormat="1" applyFill="1" applyBorder="1" applyAlignment="1">
      <alignment horizontal="center" vertical="center" wrapText="1"/>
    </xf>
    <xf numFmtId="193" fontId="48" fillId="13" borderId="3" xfId="0" applyNumberFormat="1" applyFont="1" applyFill="1" applyBorder="1" applyAlignment="1">
      <alignment horizontal="center" vertical="center" wrapText="1"/>
    </xf>
    <xf numFmtId="0" fontId="0" fillId="13" borderId="3" xfId="0" applyFill="1" applyBorder="1" applyAlignment="1">
      <alignment horizontal="center" vertical="center" wrapText="1"/>
    </xf>
    <xf numFmtId="176" fontId="48" fillId="13" borderId="4" xfId="0" applyNumberFormat="1" applyFont="1" applyFill="1" applyBorder="1" applyAlignment="1">
      <alignment horizontal="center" vertical="center" wrapText="1"/>
    </xf>
    <xf numFmtId="176" fontId="48" fillId="13" borderId="3" xfId="0" applyNumberFormat="1" applyFont="1" applyFill="1" applyBorder="1" applyAlignment="1">
      <alignment horizontal="center" vertical="center" wrapText="1"/>
    </xf>
    <xf numFmtId="176" fontId="0" fillId="13" borderId="3" xfId="0" applyNumberFormat="1" applyFill="1" applyBorder="1" applyAlignment="1">
      <alignment horizontal="center" vertical="center" wrapText="1"/>
    </xf>
    <xf numFmtId="179" fontId="0" fillId="13" borderId="3" xfId="0" applyNumberFormat="1" applyFill="1" applyBorder="1" applyAlignment="1">
      <alignment horizontal="center" vertical="center" wrapText="1"/>
    </xf>
    <xf numFmtId="0" fontId="47" fillId="13" borderId="0" xfId="0" applyFont="1" applyFill="1" applyAlignment="1">
      <alignment horizontal="left" vertical="center"/>
    </xf>
    <xf numFmtId="192" fontId="47" fillId="13" borderId="0" xfId="0" applyNumberFormat="1" applyFont="1" applyFill="1" applyAlignment="1">
      <alignment horizontal="center" vertical="center"/>
    </xf>
    <xf numFmtId="193" fontId="47" fillId="13" borderId="2" xfId="0" applyNumberFormat="1" applyFont="1" applyFill="1" applyBorder="1" applyAlignment="1">
      <alignment horizontal="center" vertical="center"/>
    </xf>
    <xf numFmtId="193" fontId="47" fillId="13" borderId="0" xfId="0" applyNumberFormat="1" applyFont="1" applyFill="1" applyAlignment="1">
      <alignment horizontal="center" vertical="center"/>
    </xf>
    <xf numFmtId="176" fontId="47" fillId="13" borderId="2" xfId="0" applyNumberFormat="1" applyFont="1" applyFill="1" applyBorder="1" applyAlignment="1">
      <alignment horizontal="center" vertical="center"/>
    </xf>
    <xf numFmtId="176" fontId="47" fillId="13" borderId="0" xfId="0" applyNumberFormat="1" applyFont="1" applyFill="1" applyAlignment="1">
      <alignment horizontal="center" vertical="center"/>
    </xf>
    <xf numFmtId="0" fontId="50" fillId="13" borderId="0" xfId="0" applyFont="1" applyFill="1" applyAlignment="1">
      <alignment horizontal="left" vertical="center"/>
    </xf>
    <xf numFmtId="0" fontId="45" fillId="13" borderId="0" xfId="0" applyFont="1" applyFill="1" applyAlignment="1">
      <alignment horizontal="left" vertical="center"/>
    </xf>
    <xf numFmtId="192" fontId="45" fillId="13" borderId="0" xfId="0" applyNumberFormat="1" applyFont="1" applyFill="1" applyAlignment="1">
      <alignment horizontal="center" vertical="center"/>
    </xf>
    <xf numFmtId="0" fontId="0" fillId="13" borderId="0" xfId="0" applyFill="1"/>
    <xf numFmtId="184" fontId="14" fillId="9" borderId="0" xfId="0" applyNumberFormat="1" applyFont="1" applyFill="1" applyAlignment="1">
      <alignment horizontal="right" vertical="center"/>
    </xf>
    <xf numFmtId="184" fontId="14" fillId="0" borderId="0" xfId="0" applyNumberFormat="1" applyFont="1" applyAlignment="1">
      <alignment horizontal="right" vertical="center"/>
    </xf>
    <xf numFmtId="0" fontId="31" fillId="10" borderId="0" xfId="0" applyFont="1" applyFill="1" applyAlignment="1">
      <alignment horizontal="left" vertical="center"/>
    </xf>
    <xf numFmtId="0" fontId="38" fillId="9" borderId="0" xfId="0" applyFont="1" applyFill="1" applyAlignment="1">
      <alignment horizontal="right" vertical="center"/>
    </xf>
    <xf numFmtId="0" fontId="38" fillId="0" borderId="0" xfId="0" applyFont="1" applyAlignment="1">
      <alignment horizontal="right" vertical="center"/>
    </xf>
    <xf numFmtId="0" fontId="34" fillId="0" borderId="0" xfId="0" applyFont="1" applyAlignment="1">
      <alignment horizontal="right" vertical="center"/>
    </xf>
    <xf numFmtId="192" fontId="44" fillId="0" borderId="0" xfId="0" applyNumberFormat="1" applyFont="1" applyAlignment="1">
      <alignment horizontal="right" vertical="center"/>
    </xf>
    <xf numFmtId="176" fontId="28" fillId="0" borderId="0" xfId="0" applyNumberFormat="1" applyFont="1" applyAlignment="1">
      <alignment horizontal="right" vertical="center"/>
    </xf>
    <xf numFmtId="0" fontId="28" fillId="0" borderId="0" xfId="0" applyFont="1" applyAlignment="1">
      <alignment horizontal="left" vertical="center" indent="2"/>
    </xf>
    <xf numFmtId="192" fontId="31" fillId="0" borderId="0" xfId="0" applyNumberFormat="1" applyFont="1" applyAlignment="1">
      <alignment horizontal="right" vertical="center"/>
    </xf>
    <xf numFmtId="192" fontId="28" fillId="0" borderId="0" xfId="0" applyNumberFormat="1" applyFont="1" applyAlignment="1">
      <alignment horizontal="right" vertical="center"/>
    </xf>
    <xf numFmtId="176" fontId="31" fillId="0" borderId="0" xfId="0" applyNumberFormat="1" applyFont="1" applyAlignment="1">
      <alignment horizontal="right" vertical="center"/>
    </xf>
    <xf numFmtId="0" fontId="42" fillId="0" borderId="0" xfId="0" applyFont="1" applyAlignment="1">
      <alignment horizontal="right" vertical="center"/>
    </xf>
    <xf numFmtId="176" fontId="44" fillId="0" borderId="0" xfId="0" applyNumberFormat="1" applyFont="1" applyAlignment="1">
      <alignment horizontal="right" vertical="center"/>
    </xf>
    <xf numFmtId="0" fontId="32" fillId="0" borderId="0" xfId="0" applyFont="1" applyAlignment="1">
      <alignment horizontal="right" vertical="center"/>
    </xf>
    <xf numFmtId="4" fontId="44" fillId="0" borderId="0" xfId="0" applyNumberFormat="1" applyFont="1" applyAlignment="1">
      <alignment horizontal="right" vertical="center"/>
    </xf>
    <xf numFmtId="4" fontId="31" fillId="0" borderId="0" xfId="0" applyNumberFormat="1" applyFont="1" applyAlignment="1">
      <alignment horizontal="right" vertical="center"/>
    </xf>
    <xf numFmtId="4" fontId="28" fillId="0" borderId="0" xfId="0" applyNumberFormat="1" applyFont="1" applyAlignment="1">
      <alignment horizontal="right" vertical="center"/>
    </xf>
    <xf numFmtId="0" fontId="32" fillId="0" borderId="0" xfId="0" applyFont="1" applyAlignment="1">
      <alignment horizontal="left" vertical="center"/>
    </xf>
    <xf numFmtId="0" fontId="38" fillId="13" borderId="0" xfId="0" applyFont="1" applyFill="1"/>
    <xf numFmtId="0" fontId="28" fillId="0" borderId="0" xfId="0" applyFont="1" applyAlignment="1">
      <alignment horizontal="center"/>
    </xf>
    <xf numFmtId="185" fontId="28" fillId="11" borderId="0" xfId="0" applyNumberFormat="1" applyFont="1" applyFill="1"/>
    <xf numFmtId="194" fontId="28" fillId="0" borderId="0" xfId="0" applyNumberFormat="1" applyFont="1"/>
    <xf numFmtId="194" fontId="28" fillId="11" borderId="0" xfId="0" applyNumberFormat="1" applyFont="1" applyFill="1"/>
    <xf numFmtId="0" fontId="51" fillId="0" borderId="0" xfId="0" applyFont="1"/>
    <xf numFmtId="0" fontId="49" fillId="0" borderId="0" xfId="0" applyFont="1"/>
    <xf numFmtId="0" fontId="0" fillId="0" borderId="0" xfId="0" applyAlignment="1">
      <alignment horizontal="right"/>
    </xf>
    <xf numFmtId="176" fontId="33" fillId="0" borderId="0" xfId="0" applyNumberFormat="1" applyFont="1" applyAlignment="1">
      <alignment horizontal="right"/>
    </xf>
    <xf numFmtId="176" fontId="28" fillId="0" borderId="0" xfId="0" applyNumberFormat="1" applyFont="1"/>
    <xf numFmtId="176" fontId="28" fillId="0" borderId="0" xfId="0" applyNumberFormat="1" applyFont="1" applyAlignment="1">
      <alignment horizontal="right"/>
    </xf>
    <xf numFmtId="176" fontId="28" fillId="11" borderId="0" xfId="0" applyNumberFormat="1" applyFont="1" applyFill="1"/>
    <xf numFmtId="176" fontId="33" fillId="0" borderId="0" xfId="0" applyNumberFormat="1" applyFont="1"/>
    <xf numFmtId="176" fontId="33" fillId="11" borderId="0" xfId="0" applyNumberFormat="1" applyFont="1" applyFill="1"/>
    <xf numFmtId="186" fontId="44" fillId="0" borderId="0" xfId="0" applyNumberFormat="1" applyFont="1"/>
    <xf numFmtId="186" fontId="28" fillId="11" borderId="0" xfId="0" applyNumberFormat="1" applyFont="1" applyFill="1"/>
    <xf numFmtId="3" fontId="44" fillId="0" borderId="0" xfId="0" applyNumberFormat="1" applyFont="1"/>
    <xf numFmtId="3" fontId="28" fillId="0" borderId="0" xfId="0" applyNumberFormat="1" applyFont="1"/>
    <xf numFmtId="2" fontId="28" fillId="0" borderId="0" xfId="0" applyNumberFormat="1" applyFont="1"/>
    <xf numFmtId="2" fontId="28" fillId="11" borderId="0" xfId="0" applyNumberFormat="1" applyFont="1" applyFill="1"/>
    <xf numFmtId="179" fontId="28" fillId="0" borderId="0" xfId="0" applyNumberFormat="1" applyFont="1"/>
    <xf numFmtId="1" fontId="28" fillId="11" borderId="0" xfId="0" applyNumberFormat="1" applyFont="1" applyFill="1"/>
    <xf numFmtId="179" fontId="28" fillId="11" borderId="0" xfId="0" applyNumberFormat="1" applyFont="1" applyFill="1"/>
    <xf numFmtId="195" fontId="28" fillId="0" borderId="0" xfId="0" applyNumberFormat="1" applyFont="1"/>
    <xf numFmtId="3" fontId="0" fillId="0" borderId="0" xfId="0" applyNumberFormat="1"/>
    <xf numFmtId="0" fontId="28" fillId="0" borderId="5" xfId="0" applyFont="1" applyBorder="1"/>
    <xf numFmtId="186" fontId="44" fillId="0" borderId="5" xfId="0" applyNumberFormat="1" applyFont="1" applyBorder="1"/>
    <xf numFmtId="186" fontId="28" fillId="0" borderId="5" xfId="0" applyNumberFormat="1" applyFont="1" applyBorder="1"/>
    <xf numFmtId="0" fontId="0" fillId="0" borderId="3" xfId="0" applyBorder="1"/>
    <xf numFmtId="186" fontId="31" fillId="0" borderId="0" xfId="0" applyNumberFormat="1" applyFont="1"/>
    <xf numFmtId="0" fontId="52" fillId="0" borderId="0" xfId="0" applyFont="1"/>
    <xf numFmtId="0" fontId="53" fillId="0" borderId="0" xfId="0" applyFont="1"/>
    <xf numFmtId="185" fontId="39" fillId="0" borderId="0" xfId="0" applyNumberFormat="1" applyFont="1"/>
    <xf numFmtId="0" fontId="54" fillId="0" borderId="0" xfId="0" applyFont="1"/>
    <xf numFmtId="186" fontId="54" fillId="0" borderId="0" xfId="0" applyNumberFormat="1" applyFont="1"/>
    <xf numFmtId="185" fontId="54" fillId="0" borderId="0" xfId="0" applyNumberFormat="1" applyFont="1"/>
    <xf numFmtId="0" fontId="55" fillId="0" borderId="0" xfId="0" applyFont="1"/>
    <xf numFmtId="0" fontId="32" fillId="4" borderId="0" xfId="0" applyFont="1" applyFill="1"/>
    <xf numFmtId="186" fontId="56" fillId="0" borderId="0" xfId="0" applyNumberFormat="1" applyFont="1"/>
    <xf numFmtId="186" fontId="46" fillId="0" borderId="0" xfId="0" applyNumberFormat="1" applyFont="1"/>
    <xf numFmtId="9" fontId="33" fillId="0" borderId="0" xfId="0" applyNumberFormat="1" applyFont="1"/>
    <xf numFmtId="0" fontId="57" fillId="13" borderId="0" xfId="0" applyFont="1" applyFill="1"/>
    <xf numFmtId="0" fontId="57" fillId="0" borderId="0" xfId="0" applyFont="1"/>
    <xf numFmtId="186" fontId="46" fillId="0" borderId="5" xfId="0" applyNumberFormat="1" applyFont="1" applyBorder="1"/>
    <xf numFmtId="0" fontId="0" fillId="0" borderId="5" xfId="0" applyBorder="1"/>
    <xf numFmtId="0" fontId="57" fillId="0" borderId="3" xfId="0" applyFont="1" applyBorder="1"/>
    <xf numFmtId="186" fontId="58" fillId="0" borderId="0" xfId="0" applyNumberFormat="1" applyFont="1"/>
    <xf numFmtId="0" fontId="41" fillId="13" borderId="0" xfId="0" applyFont="1" applyFill="1"/>
    <xf numFmtId="0" fontId="59" fillId="0" borderId="0" xfId="0" applyFont="1"/>
    <xf numFmtId="0" fontId="59" fillId="13" borderId="0" xfId="0" applyFont="1" applyFill="1"/>
    <xf numFmtId="185" fontId="32" fillId="0" borderId="0" xfId="0" applyNumberFormat="1" applyFont="1"/>
    <xf numFmtId="0" fontId="31" fillId="0" borderId="5" xfId="0" applyFont="1" applyBorder="1"/>
    <xf numFmtId="186" fontId="31" fillId="0" borderId="5" xfId="0" applyNumberFormat="1" applyFont="1" applyBorder="1"/>
    <xf numFmtId="186" fontId="32" fillId="0" borderId="0" xfId="0" applyNumberFormat="1" applyFont="1"/>
    <xf numFmtId="186" fontId="52" fillId="0" borderId="0" xfId="0" applyNumberFormat="1" applyFont="1"/>
    <xf numFmtId="188" fontId="32" fillId="0" borderId="0" xfId="0" applyNumberFormat="1" applyFont="1"/>
    <xf numFmtId="188" fontId="44" fillId="0" borderId="0" xfId="0" applyNumberFormat="1" applyFont="1"/>
    <xf numFmtId="179" fontId="32" fillId="0" borderId="0" xfId="0" applyNumberFormat="1" applyFont="1"/>
    <xf numFmtId="10" fontId="28" fillId="0" borderId="0" xfId="0" applyNumberFormat="1" applyFont="1"/>
    <xf numFmtId="196" fontId="28" fillId="0" borderId="0" xfId="0" applyNumberFormat="1" applyFont="1"/>
    <xf numFmtId="0" fontId="60" fillId="0" borderId="0" xfId="0" applyFont="1"/>
    <xf numFmtId="184" fontId="33" fillId="11" borderId="0" xfId="0" applyNumberFormat="1" applyFont="1" applyFill="1"/>
    <xf numFmtId="185" fontId="44" fillId="0" borderId="0" xfId="0" applyNumberFormat="1" applyFont="1"/>
    <xf numFmtId="2" fontId="44" fillId="0" borderId="0" xfId="0" applyNumberFormat="1" applyFont="1"/>
    <xf numFmtId="185" fontId="33" fillId="11" borderId="0" xfId="0" applyNumberFormat="1" applyFont="1" applyFill="1"/>
    <xf numFmtId="185" fontId="60" fillId="0" borderId="0" xfId="0" applyNumberFormat="1" applyFont="1"/>
    <xf numFmtId="185" fontId="33" fillId="0" borderId="0" xfId="0" applyNumberFormat="1" applyFont="1"/>
    <xf numFmtId="186" fontId="33" fillId="0" borderId="0" xfId="0" applyNumberFormat="1" applyFont="1"/>
    <xf numFmtId="185" fontId="60" fillId="11" borderId="0" xfId="0" applyNumberFormat="1" applyFont="1" applyFill="1"/>
    <xf numFmtId="193" fontId="33" fillId="11" borderId="0" xfId="0" applyNumberFormat="1" applyFont="1" applyFill="1"/>
    <xf numFmtId="1" fontId="33" fillId="11" borderId="0" xfId="0" applyNumberFormat="1" applyFont="1" applyFill="1"/>
    <xf numFmtId="0" fontId="60" fillId="0" borderId="0" xfId="0" applyFont="1" applyAlignment="1">
      <alignment horizontal="center"/>
    </xf>
    <xf numFmtId="0" fontId="32" fillId="0" borderId="0" xfId="0" applyFont="1" applyAlignment="1">
      <alignment horizontal="center"/>
    </xf>
    <xf numFmtId="184" fontId="33" fillId="0" borderId="0" xfId="0" applyNumberFormat="1" applyFont="1" applyAlignment="1">
      <alignment horizontal="center"/>
    </xf>
    <xf numFmtId="2" fontId="33" fillId="0" borderId="0" xfId="0" applyNumberFormat="1" applyFont="1"/>
    <xf numFmtId="186" fontId="60" fillId="0" borderId="0" xfId="0" applyNumberFormat="1" applyFont="1"/>
    <xf numFmtId="195" fontId="33" fillId="0" borderId="0" xfId="0" applyNumberFormat="1" applyFont="1"/>
    <xf numFmtId="193" fontId="32" fillId="0" borderId="0" xfId="0" applyNumberFormat="1" applyFont="1"/>
    <xf numFmtId="188" fontId="60" fillId="0" borderId="0" xfId="0" applyNumberFormat="1" applyFont="1"/>
    <xf numFmtId="188" fontId="33" fillId="0" borderId="0" xfId="0" applyNumberFormat="1" applyFont="1"/>
    <xf numFmtId="194" fontId="33" fillId="0" borderId="0" xfId="0" applyNumberFormat="1" applyFont="1"/>
    <xf numFmtId="2" fontId="31" fillId="0" borderId="0" xfId="0" applyNumberFormat="1" applyFont="1"/>
    <xf numFmtId="10" fontId="33" fillId="11" borderId="0" xfId="0" applyNumberFormat="1" applyFont="1" applyFill="1"/>
    <xf numFmtId="0" fontId="33" fillId="0" borderId="3" xfId="0" applyFont="1" applyBorder="1"/>
    <xf numFmtId="188" fontId="33" fillId="0" borderId="3" xfId="0" applyNumberFormat="1" applyFont="1" applyBorder="1"/>
    <xf numFmtId="185" fontId="33" fillId="11" borderId="3" xfId="0" applyNumberFormat="1" applyFont="1" applyFill="1" applyBorder="1"/>
    <xf numFmtId="193" fontId="33" fillId="0" borderId="0" xfId="0" applyNumberFormat="1" applyFont="1"/>
    <xf numFmtId="193" fontId="28" fillId="11" borderId="0" xfId="0" applyNumberFormat="1" applyFont="1" applyFill="1"/>
    <xf numFmtId="193" fontId="28" fillId="0" borderId="0" xfId="0" applyNumberFormat="1" applyFont="1"/>
    <xf numFmtId="193" fontId="31" fillId="0" borderId="0" xfId="0" applyNumberFormat="1" applyFont="1"/>
    <xf numFmtId="176" fontId="30" fillId="0" borderId="0" xfId="0" applyNumberFormat="1" applyFont="1"/>
    <xf numFmtId="0" fontId="28" fillId="12" borderId="0" xfId="0" applyFont="1" applyFill="1"/>
    <xf numFmtId="186" fontId="28" fillId="12" borderId="0" xfId="0" applyNumberFormat="1" applyFont="1" applyFill="1"/>
    <xf numFmtId="3" fontId="28" fillId="12" borderId="0" xfId="0" applyNumberFormat="1" applyFont="1" applyFill="1"/>
    <xf numFmtId="188" fontId="28" fillId="12" borderId="0" xfId="0" applyNumberFormat="1" applyFont="1" applyFill="1"/>
    <xf numFmtId="186" fontId="28" fillId="14" borderId="0" xfId="0" applyNumberFormat="1" applyFont="1" applyFill="1"/>
    <xf numFmtId="186" fontId="28" fillId="12" borderId="5" xfId="0" applyNumberFormat="1" applyFont="1" applyFill="1" applyBorder="1"/>
    <xf numFmtId="186" fontId="28" fillId="14" borderId="5" xfId="0" applyNumberFormat="1" applyFont="1" applyFill="1" applyBorder="1"/>
    <xf numFmtId="186" fontId="32" fillId="12" borderId="0" xfId="0" applyNumberFormat="1" applyFont="1" applyFill="1"/>
    <xf numFmtId="186" fontId="44" fillId="12" borderId="0" xfId="0" applyNumberFormat="1" applyFont="1" applyFill="1"/>
    <xf numFmtId="185" fontId="28" fillId="12" borderId="0" xfId="0" applyNumberFormat="1" applyFont="1" applyFill="1"/>
    <xf numFmtId="186" fontId="31" fillId="12" borderId="0" xfId="0" applyNumberFormat="1" applyFont="1" applyFill="1"/>
    <xf numFmtId="188" fontId="44" fillId="12" borderId="0" xfId="0" applyNumberFormat="1" applyFont="1" applyFill="1"/>
    <xf numFmtId="189" fontId="28" fillId="0" borderId="0" xfId="0" applyNumberFormat="1" applyFont="1"/>
    <xf numFmtId="197" fontId="28" fillId="0" borderId="0" xfId="0" applyNumberFormat="1" applyFont="1"/>
    <xf numFmtId="4" fontId="28" fillId="0" borderId="0" xfId="0" applyNumberFormat="1" applyFont="1"/>
    <xf numFmtId="192" fontId="28" fillId="0" borderId="0" xfId="0" applyNumberFormat="1" applyFont="1"/>
    <xf numFmtId="179" fontId="0" fillId="0" borderId="0" xfId="0" applyNumberFormat="1"/>
    <xf numFmtId="177" fontId="20" fillId="8" borderId="0" xfId="0" applyNumberFormat="1" applyFont="1" applyFill="1" applyAlignment="1">
      <alignment horizontal="center"/>
    </xf>
    <xf numFmtId="178" fontId="18" fillId="2" borderId="0" xfId="0" applyNumberFormat="1" applyFont="1" applyFill="1" applyAlignment="1">
      <alignment horizontal="center"/>
    </xf>
    <xf numFmtId="0" fontId="37" fillId="9" borderId="0" xfId="0" applyFont="1" applyFill="1" applyAlignment="1">
      <alignment horizontal="left" vertical="center"/>
    </xf>
    <xf numFmtId="0" fontId="47" fillId="4" borderId="0" xfId="0" applyFont="1" applyFill="1" applyAlignment="1">
      <alignment horizontal="center" vertical="center"/>
    </xf>
  </cellXfs>
  <cellStyles count="1">
    <cellStyle name="常规" xfId="0" builtinId="0"/>
  </cellStyles>
  <dxfs count="24">
    <dxf>
      <font>
        <color rgb="FF7F7F7F"/>
      </font>
    </dxf>
    <dxf>
      <font>
        <color rgb="FFFF0000"/>
      </font>
    </dxf>
    <dxf>
      <font>
        <color rgb="FF006300"/>
      </font>
    </dxf>
    <dxf>
      <font>
        <color rgb="FF7F7F7F"/>
      </font>
    </dxf>
    <dxf>
      <font>
        <color rgb="FFFF0000"/>
      </font>
    </dxf>
    <dxf>
      <font>
        <color rgb="FF006300"/>
      </font>
    </dxf>
    <dxf>
      <font>
        <color rgb="FF7F7F7F"/>
      </font>
    </dxf>
    <dxf>
      <font>
        <color rgb="FFFF0000"/>
      </font>
    </dxf>
    <dxf>
      <font>
        <color rgb="FF006300"/>
      </font>
    </dxf>
    <dxf>
      <font>
        <color rgb="FF7F7F7F"/>
      </font>
    </dxf>
    <dxf>
      <font>
        <color rgb="FFFF0000"/>
      </font>
    </dxf>
    <dxf>
      <font>
        <color rgb="FF006300"/>
      </font>
    </dxf>
    <dxf>
      <font>
        <color rgb="FF7F7F7F"/>
      </font>
    </dxf>
    <dxf>
      <font>
        <color rgb="FFFF0000"/>
      </font>
    </dxf>
    <dxf>
      <font>
        <color rgb="FF006300"/>
      </font>
    </dxf>
    <dxf>
      <font>
        <color rgb="FF7F7F7F"/>
      </font>
    </dxf>
    <dxf>
      <font>
        <color rgb="FFFF0000"/>
      </font>
    </dxf>
    <dxf>
      <font>
        <color rgb="FF006300"/>
      </font>
    </dxf>
    <dxf>
      <font>
        <color rgb="FF7F7F7F"/>
      </font>
    </dxf>
    <dxf>
      <font>
        <color rgb="FFFF0000"/>
      </font>
    </dxf>
    <dxf>
      <font>
        <color rgb="FF006300"/>
      </font>
    </dxf>
    <dxf>
      <font>
        <color rgb="FF7F7F7F"/>
      </font>
    </dxf>
    <dxf>
      <font>
        <color rgb="FFFF0000"/>
      </font>
    </dxf>
    <dxf>
      <font>
        <color rgb="FF006300"/>
      </font>
    </dxf>
  </dxfs>
  <tableStyles count="0" defaultTableStyle="TableStyleMedium2" defaultPivotStyle="PivotStyleLight16"/>
  <colors>
    <indexedColors>
      <rgbColor rgb="FF000000"/>
      <rgbColor rgb="FFFFFFFF"/>
      <rgbColor rgb="FFFF0000"/>
      <rgbColor rgb="FF00FF00"/>
      <rgbColor rgb="FF0000CC"/>
      <rgbColor rgb="FFEDEDED"/>
      <rgbColor rgb="FFFF00FF"/>
      <rgbColor rgb="FFA5E4FC"/>
      <rgbColor rgb="FF800000"/>
      <rgbColor rgb="FF006300"/>
      <rgbColor rgb="FF000080"/>
      <rgbColor rgb="FF7F7F7F"/>
      <rgbColor rgb="FF800080"/>
      <rgbColor rgb="FF008080"/>
      <rgbColor rgb="FFB8C4CC"/>
      <rgbColor rgb="FF808080"/>
      <rgbColor rgb="FF7FB3D8"/>
      <rgbColor rgb="FFC0504D"/>
      <rgbColor rgb="FFFFF2CC"/>
      <rgbColor rgb="FFE3F2FD"/>
      <rgbColor rgb="FF660066"/>
      <rgbColor rgb="FFFF8080"/>
      <rgbColor rgb="FF006BA6"/>
      <rgbColor rgb="FFBFD3DE"/>
      <rgbColor rgb="FF000080"/>
      <rgbColor rgb="FFFF00FF"/>
      <rgbColor rgb="FFE9F1FB"/>
      <rgbColor rgb="FF00FFFF"/>
      <rgbColor rgb="FF800080"/>
      <rgbColor rgb="FF800000"/>
      <rgbColor rgb="FF008080"/>
      <rgbColor rgb="FF0000FF"/>
      <rgbColor rgb="FF00A9F4"/>
      <rgbColor rgb="FFDFEEF9"/>
      <rgbColor rgb="FFDDEBF7"/>
      <rgbColor rgb="FFF2F2F2"/>
      <rgbColor rgb="FFA8D0EA"/>
      <rgbColor rgb="FF9A9A9A"/>
      <rgbColor rgb="FFB3B3B3"/>
      <rgbColor rgb="FFCCCCCC"/>
      <rgbColor rgb="FF2E6DB4"/>
      <rgbColor rgb="FF7FB9DD"/>
      <rgbColor rgb="FF8FA3B0"/>
      <rgbColor rgb="FFC8E2F3"/>
      <rgbColor rgb="FFFF9900"/>
      <rgbColor rgb="FFFF6600"/>
      <rgbColor rgb="FF666666"/>
      <rgbColor rgb="FF999999"/>
      <rgbColor rgb="FF1F3864"/>
      <rgbColor rgb="FF4F81BD"/>
      <rgbColor rgb="FF051C2C"/>
      <rgbColor rgb="FF333300"/>
      <rgbColor rgb="FF993300"/>
      <rgbColor rgb="FF993366"/>
      <rgbColor rgb="FF24435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c:style val="2"/>
  <c:chart>
    <c:autoTitleDeleted val="1"/>
    <c:plotArea>
      <c:layout/>
      <c:barChart>
        <c:barDir val="col"/>
        <c:grouping val="stacked"/>
        <c:varyColors val="0"/>
        <c:ser>
          <c:idx val="0"/>
          <c:order val="0"/>
          <c:tx>
            <c:strRef>
              <c:f>Graphs!$A$221</c:f>
              <c:strCache>
                <c:ptCount val="1"/>
                <c:pt idx="0">
                  <c:v>Data Center</c:v>
                </c:pt>
              </c:strCache>
            </c:strRef>
          </c:tx>
          <c:spPr>
            <a:solidFill>
              <a:srgbClr val="051C2C"/>
            </a:solidFill>
            <a:ln w="1260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Graphs!$B$220:$F$220</c:f>
              <c:strCache>
                <c:ptCount val="5"/>
                <c:pt idx="0">
                  <c:v>FY2025A</c:v>
                </c:pt>
                <c:pt idx="1">
                  <c:v>FY2026A</c:v>
                </c:pt>
                <c:pt idx="2">
                  <c:v>FY2027E</c:v>
                </c:pt>
                <c:pt idx="3">
                  <c:v>FY2028E</c:v>
                </c:pt>
                <c:pt idx="4">
                  <c:v>FY2029E</c:v>
                </c:pt>
              </c:strCache>
            </c:strRef>
          </c:cat>
          <c:val>
            <c:numRef>
              <c:f>Graphs!$B$221:$F$221</c:f>
              <c:numCache>
                <c:formatCode>#,##0</c:formatCode>
                <c:ptCount val="5"/>
                <c:pt idx="0">
                  <c:v>115186</c:v>
                </c:pt>
                <c:pt idx="1">
                  <c:v>193737</c:v>
                </c:pt>
                <c:pt idx="2">
                  <c:v>377627.11727847997</c:v>
                </c:pt>
                <c:pt idx="3">
                  <c:v>656779.38875341625</c:v>
                </c:pt>
                <c:pt idx="4">
                  <c:v>883104.88318001898</c:v>
                </c:pt>
              </c:numCache>
            </c:numRef>
          </c:val>
          <c:extLst>
            <c:ext xmlns:c16="http://schemas.microsoft.com/office/drawing/2014/chart" uri="{C3380CC4-5D6E-409C-BE32-E72D297353CC}">
              <c16:uniqueId val="{00000000-969C-3342-A29F-F1EC6C02F99C}"/>
            </c:ext>
          </c:extLst>
        </c:ser>
        <c:ser>
          <c:idx val="1"/>
          <c:order val="1"/>
          <c:tx>
            <c:strRef>
              <c:f>Graphs!$A$222</c:f>
              <c:strCache>
                <c:ptCount val="1"/>
                <c:pt idx="0">
                  <c:v>Edge Computing</c:v>
                </c:pt>
              </c:strCache>
            </c:strRef>
          </c:tx>
          <c:spPr>
            <a:solidFill>
              <a:srgbClr val="006BA6"/>
            </a:solidFill>
            <a:ln w="1260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Graphs!$B$220:$F$220</c:f>
              <c:strCache>
                <c:ptCount val="5"/>
                <c:pt idx="0">
                  <c:v>FY2025A</c:v>
                </c:pt>
                <c:pt idx="1">
                  <c:v>FY2026A</c:v>
                </c:pt>
                <c:pt idx="2">
                  <c:v>FY2027E</c:v>
                </c:pt>
                <c:pt idx="3">
                  <c:v>FY2028E</c:v>
                </c:pt>
                <c:pt idx="4">
                  <c:v>FY2029E</c:v>
                </c:pt>
              </c:strCache>
            </c:strRef>
          </c:cat>
          <c:val>
            <c:numRef>
              <c:f>Graphs!$B$222:$F$222</c:f>
              <c:numCache>
                <c:formatCode>#,##0</c:formatCode>
                <c:ptCount val="5"/>
                <c:pt idx="0">
                  <c:v>15311</c:v>
                </c:pt>
                <c:pt idx="1">
                  <c:v>22201</c:v>
                </c:pt>
                <c:pt idx="2">
                  <c:v>29064.659</c:v>
                </c:pt>
                <c:pt idx="3">
                  <c:v>34596.630919999996</c:v>
                </c:pt>
                <c:pt idx="4">
                  <c:v>39389.843357983998</c:v>
                </c:pt>
              </c:numCache>
            </c:numRef>
          </c:val>
          <c:extLst>
            <c:ext xmlns:c16="http://schemas.microsoft.com/office/drawing/2014/chart" uri="{C3380CC4-5D6E-409C-BE32-E72D297353CC}">
              <c16:uniqueId val="{00000001-969C-3342-A29F-F1EC6C02F99C}"/>
            </c:ext>
          </c:extLst>
        </c:ser>
        <c:dLbls>
          <c:showLegendKey val="0"/>
          <c:showVal val="0"/>
          <c:showCatName val="0"/>
          <c:showSerName val="0"/>
          <c:showPercent val="0"/>
          <c:showBubbleSize val="0"/>
        </c:dLbls>
        <c:gapWidth val="55"/>
        <c:overlap val="100"/>
        <c:axId val="71205506"/>
        <c:axId val="87656734"/>
      </c:barChart>
      <c:lineChart>
        <c:grouping val="stacked"/>
        <c:varyColors val="0"/>
        <c:ser>
          <c:idx val="2"/>
          <c:order val="2"/>
          <c:tx>
            <c:strRef>
              <c:f>Graphs!$A$224</c:f>
              <c:strCache>
                <c:ptCount val="1"/>
                <c:pt idx="0">
                  <c:v>Total revenue YoY %</c:v>
                </c:pt>
              </c:strCache>
            </c:strRef>
          </c:tx>
          <c:spPr>
            <a:ln w="19080" cap="rnd">
              <a:solidFill>
                <a:srgbClr val="00A9F4"/>
              </a:solidFill>
              <a:round/>
            </a:ln>
          </c:spPr>
          <c:marker>
            <c:symbol val="circle"/>
            <c:size val="5"/>
            <c:spPr>
              <a:solidFill>
                <a:srgbClr val="00A9F4"/>
              </a:solidFill>
            </c:spPr>
          </c:marker>
          <c:dLbls>
            <c:spPr>
              <a:noFill/>
              <a:ln>
                <a:noFill/>
              </a:ln>
              <a:effectLst/>
            </c:spPr>
            <c:txPr>
              <a:bodyPr wrap="square"/>
              <a:lstStyle/>
              <a:p>
                <a:pPr>
                  <a:defRPr sz="800" b="0" u="none" strike="noStrike">
                    <a:solidFill>
                      <a:srgbClr val="006BA6"/>
                    </a:solidFill>
                    <a:uFillTx/>
                    <a:latin typeface="Arial"/>
                  </a:defRPr>
                </a:pPr>
                <a:endParaRPr lang="zh-CN"/>
              </a:p>
            </c:txPr>
            <c:dLblPos val="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Graphs!$B$220:$F$220</c:f>
              <c:strCache>
                <c:ptCount val="5"/>
                <c:pt idx="0">
                  <c:v>FY2025A</c:v>
                </c:pt>
                <c:pt idx="1">
                  <c:v>FY2026A</c:v>
                </c:pt>
                <c:pt idx="2">
                  <c:v>FY2027E</c:v>
                </c:pt>
                <c:pt idx="3">
                  <c:v>FY2028E</c:v>
                </c:pt>
                <c:pt idx="4">
                  <c:v>FY2029E</c:v>
                </c:pt>
              </c:strCache>
            </c:strRef>
          </c:cat>
          <c:val>
            <c:numRef>
              <c:f>Graphs!$B$224:$F$224</c:f>
              <c:numCache>
                <c:formatCode>0%</c:formatCode>
                <c:ptCount val="5"/>
                <c:pt idx="1">
                  <c:v>0.65473535790094783</c:v>
                </c:pt>
                <c:pt idx="2">
                  <c:v>0.88337289536107577</c:v>
                </c:pt>
                <c:pt idx="3">
                  <c:v>0.70000000000000084</c:v>
                </c:pt>
                <c:pt idx="4">
                  <c:v>0.33428799999999947</c:v>
                </c:pt>
              </c:numCache>
            </c:numRef>
          </c:val>
          <c:smooth val="0"/>
          <c:extLst>
            <c:ext xmlns:c16="http://schemas.microsoft.com/office/drawing/2014/chart" uri="{C3380CC4-5D6E-409C-BE32-E72D297353CC}">
              <c16:uniqueId val="{00000002-969C-3342-A29F-F1EC6C02F99C}"/>
            </c:ext>
          </c:extLst>
        </c:ser>
        <c:dLbls>
          <c:showLegendKey val="0"/>
          <c:showVal val="0"/>
          <c:showCatName val="0"/>
          <c:showSerName val="0"/>
          <c:showPercent val="0"/>
          <c:showBubbleSize val="0"/>
        </c:dLbls>
        <c:hiLowLines>
          <c:spPr>
            <a:ln w="0">
              <a:noFill/>
            </a:ln>
          </c:spPr>
        </c:hiLowLines>
        <c:marker val="1"/>
        <c:smooth val="0"/>
        <c:axId val="32108505"/>
        <c:axId val="36993816"/>
      </c:lineChart>
      <c:catAx>
        <c:axId val="71205506"/>
        <c:scaling>
          <c:orientation val="minMax"/>
        </c:scaling>
        <c:delete val="0"/>
        <c:axPos val="b"/>
        <c:numFmt formatCode="General" sourceLinked="0"/>
        <c:majorTickMark val="none"/>
        <c:minorTickMark val="none"/>
        <c:tickLblPos val="nextTo"/>
        <c:spPr>
          <a:ln w="6480">
            <a:solidFill>
              <a:srgbClr val="CCCCCC"/>
            </a:solidFill>
            <a:round/>
          </a:ln>
        </c:spPr>
        <c:txPr>
          <a:bodyPr/>
          <a:lstStyle/>
          <a:p>
            <a:pPr>
              <a:defRPr sz="850" b="0" u="none" strike="noStrike">
                <a:solidFill>
                  <a:srgbClr val="666666"/>
                </a:solidFill>
                <a:uFillTx/>
                <a:latin typeface="Arial"/>
              </a:defRPr>
            </a:pPr>
            <a:endParaRPr lang="zh-CN"/>
          </a:p>
        </c:txPr>
        <c:crossAx val="87656734"/>
        <c:crosses val="autoZero"/>
        <c:auto val="1"/>
        <c:lblAlgn val="ctr"/>
        <c:lblOffset val="100"/>
        <c:noMultiLvlLbl val="0"/>
      </c:catAx>
      <c:valAx>
        <c:axId val="87656734"/>
        <c:scaling>
          <c:orientation val="minMax"/>
        </c:scaling>
        <c:delete val="0"/>
        <c:axPos val="l"/>
        <c:numFmt formatCode="#,##0,\B"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71205506"/>
        <c:crosses val="autoZero"/>
        <c:crossBetween val="between"/>
      </c:valAx>
      <c:catAx>
        <c:axId val="32108505"/>
        <c:scaling>
          <c:orientation val="minMax"/>
        </c:scaling>
        <c:delete val="1"/>
        <c:axPos val="b"/>
        <c:numFmt formatCode="General" sourceLinked="1"/>
        <c:majorTickMark val="none"/>
        <c:minorTickMark val="none"/>
        <c:tickLblPos val="nextTo"/>
        <c:crossAx val="36993816"/>
        <c:crosses val="autoZero"/>
        <c:auto val="1"/>
        <c:lblAlgn val="ctr"/>
        <c:lblOffset val="100"/>
        <c:noMultiLvlLbl val="0"/>
      </c:catAx>
      <c:valAx>
        <c:axId val="36993816"/>
        <c:scaling>
          <c:orientation val="minMax"/>
        </c:scaling>
        <c:delete val="0"/>
        <c:axPos val="r"/>
        <c:numFmt formatCode="0%"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32108505"/>
        <c:crosses val="max"/>
        <c:crossBetween val="between"/>
      </c:valAx>
      <c:spPr>
        <a:ln w="0">
          <a:noFill/>
        </a:ln>
      </c:spPr>
    </c:plotArea>
    <c:legend>
      <c:legendPos val="b"/>
      <c:overlay val="0"/>
      <c:spPr>
        <a:noFill/>
        <a:ln w="0">
          <a:noFill/>
        </a:ln>
      </c:spPr>
      <c:txPr>
        <a:bodyPr/>
        <a:lstStyle/>
        <a:p>
          <a:pPr>
            <a:defRPr sz="800" b="0" u="none" strike="noStrike">
              <a:solidFill>
                <a:srgbClr val="666666"/>
              </a:solidFill>
              <a:uFillTx/>
              <a:latin typeface="Arial"/>
            </a:defRPr>
          </a:pPr>
          <a:endParaRPr lang="zh-CN"/>
        </a:p>
      </c:txPr>
    </c:legend>
    <c:plotVisOnly val="1"/>
    <c:dispBlanksAs val="gap"/>
    <c:showDLblsOverMax val="1"/>
  </c:chart>
  <c:spPr>
    <a:ln w="9360">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c:style val="2"/>
  <c:chart>
    <c:autoTitleDeleted val="1"/>
    <c:plotArea>
      <c:layout/>
      <c:doughnutChart>
        <c:varyColors val="1"/>
        <c:ser>
          <c:idx val="0"/>
          <c:order val="0"/>
          <c:tx>
            <c:strRef>
              <c:f>Graphs!$A$272</c:f>
              <c:strCache>
                <c:ptCount val="1"/>
                <c:pt idx="0">
                  <c:v>FY2026A (inner ring)</c:v>
                </c:pt>
              </c:strCache>
            </c:strRef>
          </c:tx>
          <c:spPr>
            <a:ln w="12600">
              <a:noFill/>
            </a:ln>
          </c:spPr>
          <c:dPt>
            <c:idx val="0"/>
            <c:bubble3D val="0"/>
            <c:spPr>
              <a:solidFill>
                <a:srgbClr val="051C2C"/>
              </a:solidFill>
              <a:ln w="0">
                <a:noFill/>
              </a:ln>
            </c:spPr>
            <c:extLst>
              <c:ext xmlns:c16="http://schemas.microsoft.com/office/drawing/2014/chart" uri="{C3380CC4-5D6E-409C-BE32-E72D297353CC}">
                <c16:uniqueId val="{00000001-6B6E-A142-8B1D-E21D18F2803A}"/>
              </c:ext>
            </c:extLst>
          </c:dPt>
          <c:dPt>
            <c:idx val="1"/>
            <c:bubble3D val="0"/>
            <c:spPr>
              <a:solidFill>
                <a:srgbClr val="00A9F4"/>
              </a:solidFill>
              <a:ln w="0">
                <a:noFill/>
              </a:ln>
            </c:spPr>
            <c:extLst>
              <c:ext xmlns:c16="http://schemas.microsoft.com/office/drawing/2014/chart" uri="{C3380CC4-5D6E-409C-BE32-E72D297353CC}">
                <c16:uniqueId val="{00000003-6B6E-A142-8B1D-E21D18F2803A}"/>
              </c:ext>
            </c:extLst>
          </c:dPt>
          <c:dPt>
            <c:idx val="2"/>
            <c:bubble3D val="0"/>
            <c:spPr>
              <a:solidFill>
                <a:srgbClr val="24435A"/>
              </a:solidFill>
              <a:ln w="0">
                <a:noFill/>
              </a:ln>
            </c:spPr>
            <c:extLst>
              <c:ext xmlns:c16="http://schemas.microsoft.com/office/drawing/2014/chart" uri="{C3380CC4-5D6E-409C-BE32-E72D297353CC}">
                <c16:uniqueId val="{00000005-6B6E-A142-8B1D-E21D18F2803A}"/>
              </c:ext>
            </c:extLst>
          </c:dPt>
          <c:dLbls>
            <c:dLbl>
              <c:idx val="0"/>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1-6B6E-A142-8B1D-E21D18F2803A}"/>
                </c:ext>
              </c:extLst>
            </c:dLbl>
            <c:dLbl>
              <c:idx val="1"/>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3-6B6E-A142-8B1D-E21D18F2803A}"/>
                </c:ext>
              </c:extLst>
            </c:dLbl>
            <c:dLbl>
              <c:idx val="2"/>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5-6B6E-A142-8B1D-E21D18F2803A}"/>
                </c:ext>
              </c:extLst>
            </c:dLbl>
            <c:spPr>
              <a:noFill/>
              <a:ln>
                <a:noFill/>
              </a:ln>
              <a:effectLst/>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separator>
</c:separator>
            <c:showLeaderLines val="1"/>
            <c:leaderLines>
              <c:spPr>
                <a:ln w="0">
                  <a:solidFill>
                    <a:srgbClr val="000000"/>
                  </a:solidFill>
                </a:ln>
              </c:spPr>
            </c:leaderLines>
            <c:extLst>
              <c:ext xmlns:c15="http://schemas.microsoft.com/office/drawing/2012/chart" uri="{CE6537A1-D6FC-4f65-9D91-7224C49458BB}"/>
            </c:extLst>
          </c:dLbls>
          <c:cat>
            <c:strRef>
              <c:f>Graphs!$B$271:$D$271</c:f>
              <c:strCache>
                <c:ptCount val="3"/>
                <c:pt idx="0">
                  <c:v>DC — Compute</c:v>
                </c:pt>
                <c:pt idx="1">
                  <c:v>DC — Networking</c:v>
                </c:pt>
                <c:pt idx="2">
                  <c:v>Edge Computing</c:v>
                </c:pt>
              </c:strCache>
            </c:strRef>
          </c:cat>
          <c:val>
            <c:numRef>
              <c:f>Graphs!$B$272:$D$272</c:f>
              <c:numCache>
                <c:formatCode>#,##0</c:formatCode>
                <c:ptCount val="3"/>
                <c:pt idx="0">
                  <c:v>162361</c:v>
                </c:pt>
                <c:pt idx="1">
                  <c:v>31376</c:v>
                </c:pt>
                <c:pt idx="2">
                  <c:v>22201</c:v>
                </c:pt>
              </c:numCache>
            </c:numRef>
          </c:val>
          <c:extLst>
            <c:ext xmlns:c16="http://schemas.microsoft.com/office/drawing/2014/chart" uri="{C3380CC4-5D6E-409C-BE32-E72D297353CC}">
              <c16:uniqueId val="{00000006-6B6E-A142-8B1D-E21D18F2803A}"/>
            </c:ext>
          </c:extLst>
        </c:ser>
        <c:ser>
          <c:idx val="1"/>
          <c:order val="1"/>
          <c:tx>
            <c:strRef>
              <c:f>Graphs!$A$273</c:f>
              <c:strCache>
                <c:ptCount val="1"/>
                <c:pt idx="0">
                  <c:v>FY2029E (outer ring)</c:v>
                </c:pt>
              </c:strCache>
            </c:strRef>
          </c:tx>
          <c:spPr>
            <a:ln w="12600">
              <a:noFill/>
            </a:ln>
          </c:spPr>
          <c:dPt>
            <c:idx val="0"/>
            <c:bubble3D val="0"/>
            <c:spPr>
              <a:solidFill>
                <a:srgbClr val="051C2C"/>
              </a:solidFill>
              <a:ln w="0">
                <a:noFill/>
              </a:ln>
            </c:spPr>
            <c:extLst>
              <c:ext xmlns:c16="http://schemas.microsoft.com/office/drawing/2014/chart" uri="{C3380CC4-5D6E-409C-BE32-E72D297353CC}">
                <c16:uniqueId val="{00000008-6B6E-A142-8B1D-E21D18F2803A}"/>
              </c:ext>
            </c:extLst>
          </c:dPt>
          <c:dPt>
            <c:idx val="1"/>
            <c:bubble3D val="0"/>
            <c:spPr>
              <a:solidFill>
                <a:srgbClr val="00A9F4"/>
              </a:solidFill>
              <a:ln w="0">
                <a:noFill/>
              </a:ln>
            </c:spPr>
            <c:extLst>
              <c:ext xmlns:c16="http://schemas.microsoft.com/office/drawing/2014/chart" uri="{C3380CC4-5D6E-409C-BE32-E72D297353CC}">
                <c16:uniqueId val="{0000000A-6B6E-A142-8B1D-E21D18F2803A}"/>
              </c:ext>
            </c:extLst>
          </c:dPt>
          <c:dPt>
            <c:idx val="2"/>
            <c:bubble3D val="0"/>
            <c:spPr>
              <a:solidFill>
                <a:srgbClr val="24435A"/>
              </a:solidFill>
              <a:ln w="0">
                <a:noFill/>
              </a:ln>
            </c:spPr>
            <c:extLst>
              <c:ext xmlns:c16="http://schemas.microsoft.com/office/drawing/2014/chart" uri="{C3380CC4-5D6E-409C-BE32-E72D297353CC}">
                <c16:uniqueId val="{0000000C-6B6E-A142-8B1D-E21D18F2803A}"/>
              </c:ext>
            </c:extLst>
          </c:dPt>
          <c:dLbls>
            <c:dLbl>
              <c:idx val="0"/>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8-6B6E-A142-8B1D-E21D18F2803A}"/>
                </c:ext>
              </c:extLst>
            </c:dLbl>
            <c:dLbl>
              <c:idx val="1"/>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A-6B6E-A142-8B1D-E21D18F2803A}"/>
                </c:ext>
              </c:extLst>
            </c:dLbl>
            <c:dLbl>
              <c:idx val="2"/>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C-6B6E-A142-8B1D-E21D18F2803A}"/>
                </c:ext>
              </c:extLst>
            </c:dLbl>
            <c:spPr>
              <a:noFill/>
              <a:ln>
                <a:noFill/>
              </a:ln>
              <a:effectLst/>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separator>
</c:separator>
            <c:showLeaderLines val="1"/>
            <c:leaderLines>
              <c:spPr>
                <a:ln w="0">
                  <a:solidFill>
                    <a:srgbClr val="000000"/>
                  </a:solidFill>
                </a:ln>
              </c:spPr>
            </c:leaderLines>
            <c:extLst>
              <c:ext xmlns:c15="http://schemas.microsoft.com/office/drawing/2012/chart" uri="{CE6537A1-D6FC-4f65-9D91-7224C49458BB}"/>
            </c:extLst>
          </c:dLbls>
          <c:cat>
            <c:strRef>
              <c:f>Graphs!$B$271:$D$271</c:f>
              <c:strCache>
                <c:ptCount val="3"/>
                <c:pt idx="0">
                  <c:v>DC — Compute</c:v>
                </c:pt>
                <c:pt idx="1">
                  <c:v>DC — Networking</c:v>
                </c:pt>
                <c:pt idx="2">
                  <c:v>Edge Computing</c:v>
                </c:pt>
              </c:strCache>
            </c:strRef>
          </c:cat>
          <c:val>
            <c:numRef>
              <c:f>Graphs!$B$273:$D$273</c:f>
              <c:numCache>
                <c:formatCode>#,##0</c:formatCode>
                <c:ptCount val="3"/>
                <c:pt idx="0">
                  <c:v>695358.1757322984</c:v>
                </c:pt>
                <c:pt idx="1">
                  <c:v>187746.70744772055</c:v>
                </c:pt>
                <c:pt idx="2">
                  <c:v>39389.843357983998</c:v>
                </c:pt>
              </c:numCache>
            </c:numRef>
          </c:val>
          <c:extLst>
            <c:ext xmlns:c16="http://schemas.microsoft.com/office/drawing/2014/chart" uri="{C3380CC4-5D6E-409C-BE32-E72D297353CC}">
              <c16:uniqueId val="{0000000D-6B6E-A142-8B1D-E21D18F2803A}"/>
            </c:ext>
          </c:extLst>
        </c:ser>
        <c:dLbls>
          <c:showLegendKey val="0"/>
          <c:showVal val="0"/>
          <c:showCatName val="0"/>
          <c:showSerName val="0"/>
          <c:showPercent val="0"/>
          <c:showBubbleSize val="0"/>
          <c:showLeaderLines val="1"/>
        </c:dLbls>
        <c:firstSliceAng val="0"/>
        <c:holeSize val="50"/>
      </c:doughnutChart>
      <c:spPr>
        <a:ln w="0">
          <a:noFill/>
        </a:ln>
      </c:spPr>
    </c:plotArea>
    <c:legend>
      <c:legendPos val="b"/>
      <c:overlay val="0"/>
      <c:spPr>
        <a:noFill/>
        <a:ln w="0">
          <a:noFill/>
        </a:ln>
      </c:spPr>
      <c:txPr>
        <a:bodyPr/>
        <a:lstStyle/>
        <a:p>
          <a:pPr>
            <a:defRPr sz="800" b="0" u="none" strike="noStrike">
              <a:solidFill>
                <a:srgbClr val="666666"/>
              </a:solidFill>
              <a:uFillTx/>
              <a:latin typeface="Arial"/>
            </a:defRPr>
          </a:pPr>
          <a:endParaRPr lang="zh-CN"/>
        </a:p>
      </c:txPr>
    </c:legend>
    <c:plotVisOnly val="1"/>
    <c:dispBlanksAs val="gap"/>
    <c:showDLblsOverMax val="1"/>
  </c:chart>
  <c:spPr>
    <a:ln w="9360">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c:style val="2"/>
  <c:chart>
    <c:autoTitleDeleted val="1"/>
    <c:plotArea>
      <c:layout/>
      <c:barChart>
        <c:barDir val="col"/>
        <c:grouping val="stacked"/>
        <c:varyColors val="0"/>
        <c:ser>
          <c:idx val="0"/>
          <c:order val="0"/>
          <c:tx>
            <c:strRef>
              <c:f>Graphs!$A$225</c:f>
              <c:strCache>
                <c:ptCount val="1"/>
                <c:pt idx="0">
                  <c:v>DC — Compute</c:v>
                </c:pt>
              </c:strCache>
            </c:strRef>
          </c:tx>
          <c:spPr>
            <a:solidFill>
              <a:srgbClr val="051C2C"/>
            </a:solidFill>
            <a:ln w="12600">
              <a:noFill/>
            </a:ln>
          </c:spPr>
          <c:invertIfNegative val="0"/>
          <c:dLbls>
            <c:spPr>
              <a:noFill/>
              <a:ln>
                <a:noFill/>
              </a:ln>
              <a:effectLst/>
            </c:spPr>
            <c:txPr>
              <a:bodyPr wrap="square"/>
              <a:lstStyle/>
              <a:p>
                <a:pPr>
                  <a:defRPr sz="800" b="0" u="none" strike="noStrike">
                    <a:solidFill>
                      <a:srgbClr val="FFFFFF"/>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Graphs!$B$220:$F$220</c:f>
              <c:strCache>
                <c:ptCount val="5"/>
                <c:pt idx="0">
                  <c:v>FY2025A</c:v>
                </c:pt>
                <c:pt idx="1">
                  <c:v>FY2026A</c:v>
                </c:pt>
                <c:pt idx="2">
                  <c:v>FY2027E</c:v>
                </c:pt>
                <c:pt idx="3">
                  <c:v>FY2028E</c:v>
                </c:pt>
                <c:pt idx="4">
                  <c:v>FY2029E</c:v>
                </c:pt>
              </c:strCache>
            </c:strRef>
          </c:cat>
          <c:val>
            <c:numRef>
              <c:f>Graphs!$B$225:$F$225</c:f>
              <c:numCache>
                <c:formatCode>#,##0</c:formatCode>
                <c:ptCount val="5"/>
                <c:pt idx="0">
                  <c:v>102196</c:v>
                </c:pt>
                <c:pt idx="1">
                  <c:v>162361</c:v>
                </c:pt>
                <c:pt idx="2">
                  <c:v>304431.47398800001</c:v>
                </c:pt>
                <c:pt idx="3">
                  <c:v>523330.19024176599</c:v>
                </c:pt>
                <c:pt idx="4">
                  <c:v>695358.1757322984</c:v>
                </c:pt>
              </c:numCache>
            </c:numRef>
          </c:val>
          <c:extLst>
            <c:ext xmlns:c16="http://schemas.microsoft.com/office/drawing/2014/chart" uri="{C3380CC4-5D6E-409C-BE32-E72D297353CC}">
              <c16:uniqueId val="{00000000-08D1-DE4A-90B2-216CCC5D8591}"/>
            </c:ext>
          </c:extLst>
        </c:ser>
        <c:ser>
          <c:idx val="1"/>
          <c:order val="1"/>
          <c:tx>
            <c:strRef>
              <c:f>Graphs!$A$226</c:f>
              <c:strCache>
                <c:ptCount val="1"/>
                <c:pt idx="0">
                  <c:v>DC — Networking</c:v>
                </c:pt>
              </c:strCache>
            </c:strRef>
          </c:tx>
          <c:spPr>
            <a:solidFill>
              <a:srgbClr val="006BA6"/>
            </a:solidFill>
            <a:ln w="12600">
              <a:noFill/>
            </a:ln>
          </c:spPr>
          <c:invertIfNegative val="0"/>
          <c:dLbls>
            <c:spPr>
              <a:noFill/>
              <a:ln>
                <a:noFill/>
              </a:ln>
              <a:effectLst/>
            </c:spPr>
            <c:txPr>
              <a:bodyPr wrap="square"/>
              <a:lstStyle/>
              <a:p>
                <a:pPr>
                  <a:defRPr sz="800" b="0" u="none" strike="noStrike">
                    <a:solidFill>
                      <a:srgbClr val="FFFFFF"/>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Graphs!$B$220:$F$220</c:f>
              <c:strCache>
                <c:ptCount val="5"/>
                <c:pt idx="0">
                  <c:v>FY2025A</c:v>
                </c:pt>
                <c:pt idx="1">
                  <c:v>FY2026A</c:v>
                </c:pt>
                <c:pt idx="2">
                  <c:v>FY2027E</c:v>
                </c:pt>
                <c:pt idx="3">
                  <c:v>FY2028E</c:v>
                </c:pt>
                <c:pt idx="4">
                  <c:v>FY2029E</c:v>
                </c:pt>
              </c:strCache>
            </c:strRef>
          </c:cat>
          <c:val>
            <c:numRef>
              <c:f>Graphs!$B$226:$F$226</c:f>
              <c:numCache>
                <c:formatCode>#,##0</c:formatCode>
                <c:ptCount val="5"/>
                <c:pt idx="0">
                  <c:v>12990</c:v>
                </c:pt>
                <c:pt idx="1">
                  <c:v>31376</c:v>
                </c:pt>
                <c:pt idx="2">
                  <c:v>73195.643290479988</c:v>
                </c:pt>
                <c:pt idx="3">
                  <c:v>133449.19851165023</c:v>
                </c:pt>
                <c:pt idx="4">
                  <c:v>187746.70744772055</c:v>
                </c:pt>
              </c:numCache>
            </c:numRef>
          </c:val>
          <c:extLst>
            <c:ext xmlns:c16="http://schemas.microsoft.com/office/drawing/2014/chart" uri="{C3380CC4-5D6E-409C-BE32-E72D297353CC}">
              <c16:uniqueId val="{00000001-08D1-DE4A-90B2-216CCC5D8591}"/>
            </c:ext>
          </c:extLst>
        </c:ser>
        <c:dLbls>
          <c:showLegendKey val="0"/>
          <c:showVal val="0"/>
          <c:showCatName val="0"/>
          <c:showSerName val="0"/>
          <c:showPercent val="0"/>
          <c:showBubbleSize val="0"/>
        </c:dLbls>
        <c:gapWidth val="55"/>
        <c:overlap val="100"/>
        <c:axId val="4613739"/>
        <c:axId val="12730880"/>
      </c:barChart>
      <c:catAx>
        <c:axId val="4613739"/>
        <c:scaling>
          <c:orientation val="minMax"/>
        </c:scaling>
        <c:delete val="0"/>
        <c:axPos val="b"/>
        <c:numFmt formatCode="General" sourceLinked="0"/>
        <c:majorTickMark val="none"/>
        <c:minorTickMark val="none"/>
        <c:tickLblPos val="nextTo"/>
        <c:spPr>
          <a:ln w="6480">
            <a:solidFill>
              <a:srgbClr val="CCCCCC"/>
            </a:solidFill>
            <a:round/>
          </a:ln>
        </c:spPr>
        <c:txPr>
          <a:bodyPr/>
          <a:lstStyle/>
          <a:p>
            <a:pPr>
              <a:defRPr sz="750" b="0" u="none" strike="noStrike">
                <a:solidFill>
                  <a:srgbClr val="666666"/>
                </a:solidFill>
                <a:uFillTx/>
                <a:latin typeface="Arial"/>
              </a:defRPr>
            </a:pPr>
            <a:endParaRPr lang="zh-CN"/>
          </a:p>
        </c:txPr>
        <c:crossAx val="12730880"/>
        <c:crosses val="autoZero"/>
        <c:auto val="1"/>
        <c:lblAlgn val="ctr"/>
        <c:lblOffset val="100"/>
        <c:noMultiLvlLbl val="0"/>
      </c:catAx>
      <c:valAx>
        <c:axId val="12730880"/>
        <c:scaling>
          <c:orientation val="minMax"/>
        </c:scaling>
        <c:delete val="0"/>
        <c:axPos val="l"/>
        <c:numFmt formatCode="#,##0,\B"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4613739"/>
        <c:crosses val="autoZero"/>
        <c:crossBetween val="between"/>
      </c:valAx>
      <c:spPr>
        <a:ln w="0">
          <a:noFill/>
        </a:ln>
      </c:spPr>
    </c:plotArea>
    <c:legend>
      <c:legendPos val="b"/>
      <c:overlay val="0"/>
      <c:spPr>
        <a:noFill/>
        <a:ln w="0">
          <a:noFill/>
        </a:ln>
      </c:spPr>
      <c:txPr>
        <a:bodyPr/>
        <a:lstStyle/>
        <a:p>
          <a:pPr>
            <a:defRPr sz="800" b="0" u="none" strike="noStrike">
              <a:solidFill>
                <a:srgbClr val="666666"/>
              </a:solidFill>
              <a:uFillTx/>
              <a:latin typeface="Arial"/>
            </a:defRPr>
          </a:pPr>
          <a:endParaRPr lang="zh-CN"/>
        </a:p>
      </c:txPr>
    </c:legend>
    <c:plotVisOnly val="1"/>
    <c:dispBlanksAs val="gap"/>
    <c:showDLblsOverMax val="1"/>
  </c:chart>
  <c:spPr>
    <a:ln w="9360">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c:style val="2"/>
  <c:chart>
    <c:autoTitleDeleted val="1"/>
    <c:plotArea>
      <c:layout/>
      <c:barChart>
        <c:barDir val="col"/>
        <c:grouping val="stacked"/>
        <c:varyColors val="0"/>
        <c:ser>
          <c:idx val="0"/>
          <c:order val="0"/>
          <c:tx>
            <c:strRef>
              <c:f>Graphs!$A$254</c:f>
              <c:strCache>
                <c:ptCount val="1"/>
                <c:pt idx="0">
                  <c:v>Base (offset)</c:v>
                </c:pt>
              </c:strCache>
            </c:strRef>
          </c:tx>
          <c:spPr>
            <a:noFill/>
            <a:ln w="1260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Graphs!$B$252:$H$252</c:f>
              <c:strCache>
                <c:ptCount val="7"/>
                <c:pt idx="0">
                  <c:v>Gross margin</c:v>
                </c:pt>
                <c:pt idx="1">
                  <c:v>R&amp;D</c:v>
                </c:pt>
                <c:pt idx="2">
                  <c:v>SG&amp;A</c:v>
                </c:pt>
                <c:pt idx="3">
                  <c:v>Operating margin</c:v>
                </c:pt>
                <c:pt idx="4">
                  <c:v>Other income</c:v>
                </c:pt>
                <c:pt idx="5">
                  <c:v>Tax</c:v>
                </c:pt>
                <c:pt idx="6">
                  <c:v>Net margin</c:v>
                </c:pt>
              </c:strCache>
            </c:strRef>
          </c:cat>
          <c:val>
            <c:numRef>
              <c:f>Graphs!$B$254:$H$254</c:f>
              <c:numCache>
                <c:formatCode>0.0%</c:formatCode>
                <c:ptCount val="7"/>
                <c:pt idx="0">
                  <c:v>0</c:v>
                </c:pt>
                <c:pt idx="1">
                  <c:v>0.66205659014499396</c:v>
                </c:pt>
                <c:pt idx="2">
                  <c:v>0.65262612131982434</c:v>
                </c:pt>
                <c:pt idx="3">
                  <c:v>0</c:v>
                </c:pt>
                <c:pt idx="4">
                  <c:v>0.65262612131982445</c:v>
                </c:pt>
                <c:pt idx="5">
                  <c:v>0.54613437112181662</c:v>
                </c:pt>
                <c:pt idx="6">
                  <c:v>0</c:v>
                </c:pt>
              </c:numCache>
            </c:numRef>
          </c:val>
          <c:extLst>
            <c:ext xmlns:c16="http://schemas.microsoft.com/office/drawing/2014/chart" uri="{C3380CC4-5D6E-409C-BE32-E72D297353CC}">
              <c16:uniqueId val="{00000000-03CF-4E40-8CA4-215117ED198C}"/>
            </c:ext>
          </c:extLst>
        </c:ser>
        <c:ser>
          <c:idx val="1"/>
          <c:order val="1"/>
          <c:tx>
            <c:strRef>
              <c:f>Graphs!$A$255</c:f>
              <c:strCache>
                <c:ptCount val="1"/>
                <c:pt idx="0">
                  <c:v>Level</c:v>
                </c:pt>
              </c:strCache>
            </c:strRef>
          </c:tx>
          <c:spPr>
            <a:solidFill>
              <a:srgbClr val="051C2C"/>
            </a:solidFill>
            <a:ln w="12600">
              <a:noFill/>
            </a:ln>
          </c:spPr>
          <c:invertIfNegative val="0"/>
          <c:dLbls>
            <c:spPr>
              <a:noFill/>
              <a:ln>
                <a:noFill/>
              </a:ln>
              <a:effectLst/>
            </c:spPr>
            <c:txPr>
              <a:bodyPr wrap="square"/>
              <a:lstStyle/>
              <a:p>
                <a:pPr>
                  <a:defRPr sz="800" b="0" u="none" strike="noStrike">
                    <a:solidFill>
                      <a:srgbClr val="FFFFFF"/>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Graphs!$B$252:$H$252</c:f>
              <c:strCache>
                <c:ptCount val="7"/>
                <c:pt idx="0">
                  <c:v>Gross margin</c:v>
                </c:pt>
                <c:pt idx="1">
                  <c:v>R&amp;D</c:v>
                </c:pt>
                <c:pt idx="2">
                  <c:v>SG&amp;A</c:v>
                </c:pt>
                <c:pt idx="3">
                  <c:v>Operating margin</c:v>
                </c:pt>
                <c:pt idx="4">
                  <c:v>Other income</c:v>
                </c:pt>
                <c:pt idx="5">
                  <c:v>Tax</c:v>
                </c:pt>
                <c:pt idx="6">
                  <c:v>Net margin</c:v>
                </c:pt>
              </c:strCache>
            </c:strRef>
          </c:cat>
          <c:val>
            <c:numRef>
              <c:f>Graphs!$B$255:$H$255</c:f>
              <c:numCache>
                <c:formatCode>General</c:formatCode>
                <c:ptCount val="7"/>
                <c:pt idx="0" formatCode="0.0%">
                  <c:v>0.72540851262082662</c:v>
                </c:pt>
                <c:pt idx="3" formatCode="0.0%">
                  <c:v>0.65262612131982445</c:v>
                </c:pt>
                <c:pt idx="6" formatCode="0.0%">
                  <c:v>0.54613437112181662</c:v>
                </c:pt>
              </c:numCache>
            </c:numRef>
          </c:val>
          <c:extLst>
            <c:ext xmlns:c16="http://schemas.microsoft.com/office/drawing/2014/chart" uri="{C3380CC4-5D6E-409C-BE32-E72D297353CC}">
              <c16:uniqueId val="{00000001-03CF-4E40-8CA4-215117ED198C}"/>
            </c:ext>
          </c:extLst>
        </c:ser>
        <c:ser>
          <c:idx val="2"/>
          <c:order val="2"/>
          <c:tx>
            <c:strRef>
              <c:f>Graphs!$A$256</c:f>
              <c:strCache>
                <c:ptCount val="1"/>
                <c:pt idx="0">
                  <c:v>Increase</c:v>
                </c:pt>
              </c:strCache>
            </c:strRef>
          </c:tx>
          <c:spPr>
            <a:solidFill>
              <a:srgbClr val="00A9F4"/>
            </a:solidFill>
            <a:ln w="12600">
              <a:noFill/>
            </a:ln>
          </c:spPr>
          <c:invertIfNegative val="0"/>
          <c:dLbls>
            <c:spPr>
              <a:noFill/>
              <a:ln>
                <a:noFill/>
              </a:ln>
              <a:effectLst/>
            </c:spPr>
            <c:txPr>
              <a:bodyPr wrap="square"/>
              <a:lstStyle/>
              <a:p>
                <a:pPr>
                  <a:defRPr sz="800" b="0" u="none" strike="noStrike">
                    <a:solidFill>
                      <a:srgbClr val="051C2C"/>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Graphs!$B$252:$H$252</c:f>
              <c:strCache>
                <c:ptCount val="7"/>
                <c:pt idx="0">
                  <c:v>Gross margin</c:v>
                </c:pt>
                <c:pt idx="1">
                  <c:v>R&amp;D</c:v>
                </c:pt>
                <c:pt idx="2">
                  <c:v>SG&amp;A</c:v>
                </c:pt>
                <c:pt idx="3">
                  <c:v>Operating margin</c:v>
                </c:pt>
                <c:pt idx="4">
                  <c:v>Other income</c:v>
                </c:pt>
                <c:pt idx="5">
                  <c:v>Tax</c:v>
                </c:pt>
                <c:pt idx="6">
                  <c:v>Net margin</c:v>
                </c:pt>
              </c:strCache>
            </c:strRef>
          </c:cat>
          <c:val>
            <c:numRef>
              <c:f>Graphs!$B$256:$H$256</c:f>
              <c:numCache>
                <c:formatCode>General</c:formatCode>
                <c:ptCount val="7"/>
                <c:pt idx="4" formatCode="0.0%">
                  <c:v>5.3670968992317681E-3</c:v>
                </c:pt>
              </c:numCache>
            </c:numRef>
          </c:val>
          <c:extLst>
            <c:ext xmlns:c16="http://schemas.microsoft.com/office/drawing/2014/chart" uri="{C3380CC4-5D6E-409C-BE32-E72D297353CC}">
              <c16:uniqueId val="{00000002-03CF-4E40-8CA4-215117ED198C}"/>
            </c:ext>
          </c:extLst>
        </c:ser>
        <c:ser>
          <c:idx val="3"/>
          <c:order val="3"/>
          <c:tx>
            <c:strRef>
              <c:f>Graphs!$A$257</c:f>
              <c:strCache>
                <c:ptCount val="1"/>
                <c:pt idx="0">
                  <c:v>Decrease</c:v>
                </c:pt>
              </c:strCache>
            </c:strRef>
          </c:tx>
          <c:spPr>
            <a:solidFill>
              <a:srgbClr val="B8C4CC"/>
            </a:solidFill>
            <a:ln w="12600">
              <a:noFill/>
            </a:ln>
          </c:spPr>
          <c:invertIfNegative val="0"/>
          <c:dLbls>
            <c:spPr>
              <a:noFill/>
              <a:ln>
                <a:noFill/>
              </a:ln>
              <a:effectLst/>
            </c:spPr>
            <c:txPr>
              <a:bodyPr wrap="square"/>
              <a:lstStyle/>
              <a:p>
                <a:pPr>
                  <a:defRPr sz="800" b="0" u="none" strike="noStrike">
                    <a:solidFill>
                      <a:srgbClr val="000000"/>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Graphs!$B$252:$H$252</c:f>
              <c:strCache>
                <c:ptCount val="7"/>
                <c:pt idx="0">
                  <c:v>Gross margin</c:v>
                </c:pt>
                <c:pt idx="1">
                  <c:v>R&amp;D</c:v>
                </c:pt>
                <c:pt idx="2">
                  <c:v>SG&amp;A</c:v>
                </c:pt>
                <c:pt idx="3">
                  <c:v>Operating margin</c:v>
                </c:pt>
                <c:pt idx="4">
                  <c:v>Other income</c:v>
                </c:pt>
                <c:pt idx="5">
                  <c:v>Tax</c:v>
                </c:pt>
                <c:pt idx="6">
                  <c:v>Net margin</c:v>
                </c:pt>
              </c:strCache>
            </c:strRef>
          </c:cat>
          <c:val>
            <c:numRef>
              <c:f>Graphs!$B$257:$H$257</c:f>
              <c:numCache>
                <c:formatCode>0.0%</c:formatCode>
                <c:ptCount val="7"/>
                <c:pt idx="1">
                  <c:v>6.3351922475832642E-2</c:v>
                </c:pt>
                <c:pt idx="2">
                  <c:v>9.4304688251696071E-3</c:v>
                </c:pt>
                <c:pt idx="5">
                  <c:v>0.11185884709723955</c:v>
                </c:pt>
              </c:numCache>
            </c:numRef>
          </c:val>
          <c:extLst>
            <c:ext xmlns:c16="http://schemas.microsoft.com/office/drawing/2014/chart" uri="{C3380CC4-5D6E-409C-BE32-E72D297353CC}">
              <c16:uniqueId val="{00000003-03CF-4E40-8CA4-215117ED198C}"/>
            </c:ext>
          </c:extLst>
        </c:ser>
        <c:dLbls>
          <c:showLegendKey val="0"/>
          <c:showVal val="0"/>
          <c:showCatName val="0"/>
          <c:showSerName val="0"/>
          <c:showPercent val="0"/>
          <c:showBubbleSize val="0"/>
        </c:dLbls>
        <c:gapWidth val="40"/>
        <c:overlap val="100"/>
        <c:axId val="43428514"/>
        <c:axId val="61460616"/>
      </c:barChart>
      <c:catAx>
        <c:axId val="43428514"/>
        <c:scaling>
          <c:orientation val="minMax"/>
        </c:scaling>
        <c:delete val="0"/>
        <c:axPos val="b"/>
        <c:numFmt formatCode="General" sourceLinked="0"/>
        <c:majorTickMark val="none"/>
        <c:minorTickMark val="none"/>
        <c:tickLblPos val="nextTo"/>
        <c:spPr>
          <a:ln w="6480">
            <a:solidFill>
              <a:srgbClr val="CCCCCC"/>
            </a:solidFill>
            <a:round/>
          </a:ln>
        </c:spPr>
        <c:txPr>
          <a:bodyPr/>
          <a:lstStyle/>
          <a:p>
            <a:pPr>
              <a:defRPr sz="750" b="0" u="none" strike="noStrike">
                <a:solidFill>
                  <a:srgbClr val="666666"/>
                </a:solidFill>
                <a:uFillTx/>
                <a:latin typeface="Arial"/>
              </a:defRPr>
            </a:pPr>
            <a:endParaRPr lang="zh-CN"/>
          </a:p>
        </c:txPr>
        <c:crossAx val="61460616"/>
        <c:crosses val="autoZero"/>
        <c:auto val="1"/>
        <c:lblAlgn val="ctr"/>
        <c:lblOffset val="100"/>
        <c:noMultiLvlLbl val="0"/>
      </c:catAx>
      <c:valAx>
        <c:axId val="61460616"/>
        <c:scaling>
          <c:orientation val="minMax"/>
          <c:min val="0"/>
        </c:scaling>
        <c:delete val="0"/>
        <c:axPos val="l"/>
        <c:numFmt formatCode="0%"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43428514"/>
        <c:crosses val="autoZero"/>
        <c:crossBetween val="between"/>
      </c:valAx>
      <c:spPr>
        <a:ln w="0">
          <a:noFill/>
        </a:ln>
      </c:spPr>
    </c:plotArea>
    <c:legend>
      <c:legendPos val="b"/>
      <c:legendEntry>
        <c:idx val="0"/>
        <c:delete val="1"/>
      </c:legendEntry>
      <c:overlay val="0"/>
      <c:spPr>
        <a:noFill/>
        <a:ln w="0">
          <a:noFill/>
        </a:ln>
      </c:spPr>
      <c:txPr>
        <a:bodyPr/>
        <a:lstStyle/>
        <a:p>
          <a:pPr>
            <a:defRPr sz="800" b="0" u="none" strike="noStrike">
              <a:solidFill>
                <a:srgbClr val="666666"/>
              </a:solidFill>
              <a:uFillTx/>
              <a:latin typeface="Arial"/>
            </a:defRPr>
          </a:pPr>
          <a:endParaRPr lang="zh-CN"/>
        </a:p>
      </c:txPr>
    </c:legend>
    <c:plotVisOnly val="1"/>
    <c:dispBlanksAs val="gap"/>
    <c:showDLblsOverMax val="1"/>
  </c:chart>
  <c:spPr>
    <a:ln w="9360">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c:style val="2"/>
  <c:chart>
    <c:autoTitleDeleted val="1"/>
    <c:plotArea>
      <c:layout/>
      <c:barChart>
        <c:barDir val="col"/>
        <c:grouping val="clustered"/>
        <c:varyColors val="0"/>
        <c:ser>
          <c:idx val="0"/>
          <c:order val="0"/>
          <c:tx>
            <c:strRef>
              <c:f>Graphs!$A$287</c:f>
              <c:strCache>
                <c:ptCount val="1"/>
                <c:pt idx="0">
                  <c:v>Revenue</c:v>
                </c:pt>
              </c:strCache>
            </c:strRef>
          </c:tx>
          <c:spPr>
            <a:solidFill>
              <a:srgbClr val="051C2C"/>
            </a:solidFill>
            <a:ln w="12600">
              <a:noFill/>
            </a:ln>
          </c:spPr>
          <c:invertIfNegative val="0"/>
          <c:dPt>
            <c:idx val="0"/>
            <c:invertIfNegative val="0"/>
            <c:bubble3D val="0"/>
            <c:spPr>
              <a:solidFill>
                <a:srgbClr val="051C2C"/>
              </a:solidFill>
              <a:ln w="0">
                <a:noFill/>
              </a:ln>
            </c:spPr>
            <c:extLst>
              <c:ext xmlns:c16="http://schemas.microsoft.com/office/drawing/2014/chart" uri="{C3380CC4-5D6E-409C-BE32-E72D297353CC}">
                <c16:uniqueId val="{00000001-CE73-2745-A18A-66C40C413F8C}"/>
              </c:ext>
            </c:extLst>
          </c:dPt>
          <c:dPt>
            <c:idx val="1"/>
            <c:invertIfNegative val="0"/>
            <c:bubble3D val="0"/>
            <c:spPr>
              <a:solidFill>
                <a:srgbClr val="051C2C"/>
              </a:solidFill>
              <a:ln w="0">
                <a:noFill/>
              </a:ln>
            </c:spPr>
            <c:extLst>
              <c:ext xmlns:c16="http://schemas.microsoft.com/office/drawing/2014/chart" uri="{C3380CC4-5D6E-409C-BE32-E72D297353CC}">
                <c16:uniqueId val="{00000003-CE73-2745-A18A-66C40C413F8C}"/>
              </c:ext>
            </c:extLst>
          </c:dPt>
          <c:dPt>
            <c:idx val="2"/>
            <c:invertIfNegative val="0"/>
            <c:bubble3D val="0"/>
            <c:spPr>
              <a:solidFill>
                <a:srgbClr val="8FA3B0"/>
              </a:solidFill>
              <a:ln w="0">
                <a:noFill/>
              </a:ln>
            </c:spPr>
            <c:extLst>
              <c:ext xmlns:c16="http://schemas.microsoft.com/office/drawing/2014/chart" uri="{C3380CC4-5D6E-409C-BE32-E72D297353CC}">
                <c16:uniqueId val="{00000005-CE73-2745-A18A-66C40C413F8C}"/>
              </c:ext>
            </c:extLst>
          </c:dPt>
          <c:dPt>
            <c:idx val="3"/>
            <c:invertIfNegative val="0"/>
            <c:bubble3D val="0"/>
            <c:spPr>
              <a:solidFill>
                <a:srgbClr val="8FA3B0"/>
              </a:solidFill>
              <a:ln w="0">
                <a:noFill/>
              </a:ln>
            </c:spPr>
            <c:extLst>
              <c:ext xmlns:c16="http://schemas.microsoft.com/office/drawing/2014/chart" uri="{C3380CC4-5D6E-409C-BE32-E72D297353CC}">
                <c16:uniqueId val="{00000007-CE73-2745-A18A-66C40C413F8C}"/>
              </c:ext>
            </c:extLst>
          </c:dPt>
          <c:dPt>
            <c:idx val="4"/>
            <c:invertIfNegative val="0"/>
            <c:bubble3D val="0"/>
            <c:spPr>
              <a:solidFill>
                <a:srgbClr val="8FA3B0"/>
              </a:solidFill>
              <a:ln w="0">
                <a:noFill/>
              </a:ln>
            </c:spPr>
            <c:extLst>
              <c:ext xmlns:c16="http://schemas.microsoft.com/office/drawing/2014/chart" uri="{C3380CC4-5D6E-409C-BE32-E72D297353CC}">
                <c16:uniqueId val="{00000009-CE73-2745-A18A-66C40C413F8C}"/>
              </c:ext>
            </c:extLst>
          </c:dPt>
          <c:dLbls>
            <c:dLbl>
              <c:idx val="0"/>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01-CE73-2745-A18A-66C40C413F8C}"/>
                </c:ext>
              </c:extLst>
            </c:dLbl>
            <c:dLbl>
              <c:idx val="1"/>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03-CE73-2745-A18A-66C40C413F8C}"/>
                </c:ext>
              </c:extLst>
            </c:dLbl>
            <c:dLbl>
              <c:idx val="2"/>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05-CE73-2745-A18A-66C40C413F8C}"/>
                </c:ext>
              </c:extLst>
            </c:dLbl>
            <c:dLbl>
              <c:idx val="3"/>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07-CE73-2745-A18A-66C40C413F8C}"/>
                </c:ext>
              </c:extLst>
            </c:dLbl>
            <c:dLbl>
              <c:idx val="4"/>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09-CE73-2745-A18A-66C40C413F8C}"/>
                </c:ext>
              </c:extLst>
            </c:dLbl>
            <c:spPr>
              <a:noFill/>
              <a:ln>
                <a:noFill/>
              </a:ln>
              <a:effectLst/>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Graphs!$B$286:$F$286</c:f>
              <c:strCache>
                <c:ptCount val="5"/>
                <c:pt idx="0">
                  <c:v>FY2025A</c:v>
                </c:pt>
                <c:pt idx="1">
                  <c:v>FY2026A</c:v>
                </c:pt>
                <c:pt idx="2">
                  <c:v>FY2027E</c:v>
                </c:pt>
                <c:pt idx="3">
                  <c:v>FY2028E</c:v>
                </c:pt>
                <c:pt idx="4">
                  <c:v>FY2029E</c:v>
                </c:pt>
              </c:strCache>
            </c:strRef>
          </c:cat>
          <c:val>
            <c:numRef>
              <c:f>Graphs!$B$287:$F$287</c:f>
              <c:numCache>
                <c:formatCode>#,##0</c:formatCode>
                <c:ptCount val="5"/>
                <c:pt idx="0">
                  <c:v>130497</c:v>
                </c:pt>
                <c:pt idx="1">
                  <c:v>215938</c:v>
                </c:pt>
                <c:pt idx="2">
                  <c:v>406691.77627848001</c:v>
                </c:pt>
                <c:pt idx="3">
                  <c:v>691376.01967341616</c:v>
                </c:pt>
                <c:pt idx="4">
                  <c:v>922494.72653800296</c:v>
                </c:pt>
              </c:numCache>
            </c:numRef>
          </c:val>
          <c:extLst>
            <c:ext xmlns:c16="http://schemas.microsoft.com/office/drawing/2014/chart" uri="{C3380CC4-5D6E-409C-BE32-E72D297353CC}">
              <c16:uniqueId val="{0000000A-CE73-2745-A18A-66C40C413F8C}"/>
            </c:ext>
          </c:extLst>
        </c:ser>
        <c:ser>
          <c:idx val="1"/>
          <c:order val="1"/>
          <c:tx>
            <c:strRef>
              <c:f>Graphs!$A$288</c:f>
              <c:strCache>
                <c:ptCount val="1"/>
                <c:pt idx="0">
                  <c:v>Gross profit</c:v>
                </c:pt>
              </c:strCache>
            </c:strRef>
          </c:tx>
          <c:spPr>
            <a:solidFill>
              <a:srgbClr val="006BA6"/>
            </a:solidFill>
            <a:ln w="12600">
              <a:noFill/>
            </a:ln>
          </c:spPr>
          <c:invertIfNegative val="0"/>
          <c:dPt>
            <c:idx val="0"/>
            <c:invertIfNegative val="0"/>
            <c:bubble3D val="0"/>
            <c:spPr>
              <a:solidFill>
                <a:srgbClr val="006BA6"/>
              </a:solidFill>
              <a:ln w="0">
                <a:noFill/>
              </a:ln>
            </c:spPr>
            <c:extLst>
              <c:ext xmlns:c16="http://schemas.microsoft.com/office/drawing/2014/chart" uri="{C3380CC4-5D6E-409C-BE32-E72D297353CC}">
                <c16:uniqueId val="{0000000C-CE73-2745-A18A-66C40C413F8C}"/>
              </c:ext>
            </c:extLst>
          </c:dPt>
          <c:dPt>
            <c:idx val="1"/>
            <c:invertIfNegative val="0"/>
            <c:bubble3D val="0"/>
            <c:spPr>
              <a:solidFill>
                <a:srgbClr val="006BA6"/>
              </a:solidFill>
              <a:ln w="0">
                <a:noFill/>
              </a:ln>
            </c:spPr>
            <c:extLst>
              <c:ext xmlns:c16="http://schemas.microsoft.com/office/drawing/2014/chart" uri="{C3380CC4-5D6E-409C-BE32-E72D297353CC}">
                <c16:uniqueId val="{0000000E-CE73-2745-A18A-66C40C413F8C}"/>
              </c:ext>
            </c:extLst>
          </c:dPt>
          <c:dPt>
            <c:idx val="2"/>
            <c:invertIfNegative val="0"/>
            <c:bubble3D val="0"/>
            <c:spPr>
              <a:solidFill>
                <a:srgbClr val="7FB3D8"/>
              </a:solidFill>
              <a:ln w="0">
                <a:noFill/>
              </a:ln>
            </c:spPr>
            <c:extLst>
              <c:ext xmlns:c16="http://schemas.microsoft.com/office/drawing/2014/chart" uri="{C3380CC4-5D6E-409C-BE32-E72D297353CC}">
                <c16:uniqueId val="{00000010-CE73-2745-A18A-66C40C413F8C}"/>
              </c:ext>
            </c:extLst>
          </c:dPt>
          <c:dPt>
            <c:idx val="3"/>
            <c:invertIfNegative val="0"/>
            <c:bubble3D val="0"/>
            <c:spPr>
              <a:solidFill>
                <a:srgbClr val="7FB3D8"/>
              </a:solidFill>
              <a:ln w="0">
                <a:noFill/>
              </a:ln>
            </c:spPr>
            <c:extLst>
              <c:ext xmlns:c16="http://schemas.microsoft.com/office/drawing/2014/chart" uri="{C3380CC4-5D6E-409C-BE32-E72D297353CC}">
                <c16:uniqueId val="{00000012-CE73-2745-A18A-66C40C413F8C}"/>
              </c:ext>
            </c:extLst>
          </c:dPt>
          <c:dPt>
            <c:idx val="4"/>
            <c:invertIfNegative val="0"/>
            <c:bubble3D val="0"/>
            <c:spPr>
              <a:solidFill>
                <a:srgbClr val="7FB3D8"/>
              </a:solidFill>
              <a:ln w="0">
                <a:noFill/>
              </a:ln>
            </c:spPr>
            <c:extLst>
              <c:ext xmlns:c16="http://schemas.microsoft.com/office/drawing/2014/chart" uri="{C3380CC4-5D6E-409C-BE32-E72D297353CC}">
                <c16:uniqueId val="{00000014-CE73-2745-A18A-66C40C413F8C}"/>
              </c:ext>
            </c:extLst>
          </c:dPt>
          <c:dLbls>
            <c:dLbl>
              <c:idx val="0"/>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0C-CE73-2745-A18A-66C40C413F8C}"/>
                </c:ext>
              </c:extLst>
            </c:dLbl>
            <c:dLbl>
              <c:idx val="1"/>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0E-CE73-2745-A18A-66C40C413F8C}"/>
                </c:ext>
              </c:extLst>
            </c:dLbl>
            <c:dLbl>
              <c:idx val="2"/>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10-CE73-2745-A18A-66C40C413F8C}"/>
                </c:ext>
              </c:extLst>
            </c:dLbl>
            <c:dLbl>
              <c:idx val="3"/>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12-CE73-2745-A18A-66C40C413F8C}"/>
                </c:ext>
              </c:extLst>
            </c:dLbl>
            <c:dLbl>
              <c:idx val="4"/>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14-CE73-2745-A18A-66C40C413F8C}"/>
                </c:ext>
              </c:extLst>
            </c:dLbl>
            <c:spPr>
              <a:noFill/>
              <a:ln>
                <a:noFill/>
              </a:ln>
              <a:effectLst/>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Graphs!$B$286:$F$286</c:f>
              <c:strCache>
                <c:ptCount val="5"/>
                <c:pt idx="0">
                  <c:v>FY2025A</c:v>
                </c:pt>
                <c:pt idx="1">
                  <c:v>FY2026A</c:v>
                </c:pt>
                <c:pt idx="2">
                  <c:v>FY2027E</c:v>
                </c:pt>
                <c:pt idx="3">
                  <c:v>FY2028E</c:v>
                </c:pt>
                <c:pt idx="4">
                  <c:v>FY2029E</c:v>
                </c:pt>
              </c:strCache>
            </c:strRef>
          </c:cat>
          <c:val>
            <c:numRef>
              <c:f>Graphs!$B$288:$F$288</c:f>
              <c:numCache>
                <c:formatCode>#,##0</c:formatCode>
                <c:ptCount val="5"/>
                <c:pt idx="0">
                  <c:v>97859</c:v>
                </c:pt>
                <c:pt idx="1">
                  <c:v>153463</c:v>
                </c:pt>
                <c:pt idx="2">
                  <c:v>299671.64063957322</c:v>
                </c:pt>
                <c:pt idx="3">
                  <c:v>501530.05009300017</c:v>
                </c:pt>
                <c:pt idx="4">
                  <c:v>672498.65564620413</c:v>
                </c:pt>
              </c:numCache>
            </c:numRef>
          </c:val>
          <c:extLst>
            <c:ext xmlns:c16="http://schemas.microsoft.com/office/drawing/2014/chart" uri="{C3380CC4-5D6E-409C-BE32-E72D297353CC}">
              <c16:uniqueId val="{00000015-CE73-2745-A18A-66C40C413F8C}"/>
            </c:ext>
          </c:extLst>
        </c:ser>
        <c:ser>
          <c:idx val="2"/>
          <c:order val="2"/>
          <c:tx>
            <c:strRef>
              <c:f>Graphs!$A$289</c:f>
              <c:strCache>
                <c:ptCount val="1"/>
                <c:pt idx="0">
                  <c:v>Operating income</c:v>
                </c:pt>
              </c:strCache>
            </c:strRef>
          </c:tx>
          <c:spPr>
            <a:solidFill>
              <a:srgbClr val="00A9F4"/>
            </a:solidFill>
            <a:ln w="12600">
              <a:noFill/>
            </a:ln>
          </c:spPr>
          <c:invertIfNegative val="0"/>
          <c:dPt>
            <c:idx val="0"/>
            <c:invertIfNegative val="0"/>
            <c:bubble3D val="0"/>
            <c:spPr>
              <a:solidFill>
                <a:srgbClr val="00A9F4"/>
              </a:solidFill>
              <a:ln w="0">
                <a:noFill/>
              </a:ln>
            </c:spPr>
            <c:extLst>
              <c:ext xmlns:c16="http://schemas.microsoft.com/office/drawing/2014/chart" uri="{C3380CC4-5D6E-409C-BE32-E72D297353CC}">
                <c16:uniqueId val="{00000017-CE73-2745-A18A-66C40C413F8C}"/>
              </c:ext>
            </c:extLst>
          </c:dPt>
          <c:dPt>
            <c:idx val="1"/>
            <c:invertIfNegative val="0"/>
            <c:bubble3D val="0"/>
            <c:spPr>
              <a:solidFill>
                <a:srgbClr val="00A9F4"/>
              </a:solidFill>
              <a:ln w="0">
                <a:noFill/>
              </a:ln>
            </c:spPr>
            <c:extLst>
              <c:ext xmlns:c16="http://schemas.microsoft.com/office/drawing/2014/chart" uri="{C3380CC4-5D6E-409C-BE32-E72D297353CC}">
                <c16:uniqueId val="{00000019-CE73-2745-A18A-66C40C413F8C}"/>
              </c:ext>
            </c:extLst>
          </c:dPt>
          <c:dPt>
            <c:idx val="2"/>
            <c:invertIfNegative val="0"/>
            <c:bubble3D val="0"/>
            <c:spPr>
              <a:solidFill>
                <a:srgbClr val="A5E4FC"/>
              </a:solidFill>
              <a:ln w="0">
                <a:noFill/>
              </a:ln>
            </c:spPr>
            <c:extLst>
              <c:ext xmlns:c16="http://schemas.microsoft.com/office/drawing/2014/chart" uri="{C3380CC4-5D6E-409C-BE32-E72D297353CC}">
                <c16:uniqueId val="{0000001B-CE73-2745-A18A-66C40C413F8C}"/>
              </c:ext>
            </c:extLst>
          </c:dPt>
          <c:dPt>
            <c:idx val="3"/>
            <c:invertIfNegative val="0"/>
            <c:bubble3D val="0"/>
            <c:spPr>
              <a:solidFill>
                <a:srgbClr val="A5E4FC"/>
              </a:solidFill>
              <a:ln w="0">
                <a:noFill/>
              </a:ln>
            </c:spPr>
            <c:extLst>
              <c:ext xmlns:c16="http://schemas.microsoft.com/office/drawing/2014/chart" uri="{C3380CC4-5D6E-409C-BE32-E72D297353CC}">
                <c16:uniqueId val="{0000001D-CE73-2745-A18A-66C40C413F8C}"/>
              </c:ext>
            </c:extLst>
          </c:dPt>
          <c:dPt>
            <c:idx val="4"/>
            <c:invertIfNegative val="0"/>
            <c:bubble3D val="0"/>
            <c:spPr>
              <a:solidFill>
                <a:srgbClr val="A5E4FC"/>
              </a:solidFill>
              <a:ln w="0">
                <a:noFill/>
              </a:ln>
            </c:spPr>
            <c:extLst>
              <c:ext xmlns:c16="http://schemas.microsoft.com/office/drawing/2014/chart" uri="{C3380CC4-5D6E-409C-BE32-E72D297353CC}">
                <c16:uniqueId val="{0000001F-CE73-2745-A18A-66C40C413F8C}"/>
              </c:ext>
            </c:extLst>
          </c:dPt>
          <c:dLbls>
            <c:dLbl>
              <c:idx val="0"/>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17-CE73-2745-A18A-66C40C413F8C}"/>
                </c:ext>
              </c:extLst>
            </c:dLbl>
            <c:dLbl>
              <c:idx val="1"/>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19-CE73-2745-A18A-66C40C413F8C}"/>
                </c:ext>
              </c:extLst>
            </c:dLbl>
            <c:dLbl>
              <c:idx val="2"/>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1B-CE73-2745-A18A-66C40C413F8C}"/>
                </c:ext>
              </c:extLst>
            </c:dLbl>
            <c:dLbl>
              <c:idx val="3"/>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1D-CE73-2745-A18A-66C40C413F8C}"/>
                </c:ext>
              </c:extLst>
            </c:dLbl>
            <c:dLbl>
              <c:idx val="4"/>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1F-CE73-2745-A18A-66C40C413F8C}"/>
                </c:ext>
              </c:extLst>
            </c:dLbl>
            <c:spPr>
              <a:noFill/>
              <a:ln>
                <a:noFill/>
              </a:ln>
              <a:effectLst/>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Graphs!$B$286:$F$286</c:f>
              <c:strCache>
                <c:ptCount val="5"/>
                <c:pt idx="0">
                  <c:v>FY2025A</c:v>
                </c:pt>
                <c:pt idx="1">
                  <c:v>FY2026A</c:v>
                </c:pt>
                <c:pt idx="2">
                  <c:v>FY2027E</c:v>
                </c:pt>
                <c:pt idx="3">
                  <c:v>FY2028E</c:v>
                </c:pt>
                <c:pt idx="4">
                  <c:v>FY2029E</c:v>
                </c:pt>
              </c:strCache>
            </c:strRef>
          </c:cat>
          <c:val>
            <c:numRef>
              <c:f>Graphs!$B$289:$F$289</c:f>
              <c:numCache>
                <c:formatCode>#,##0</c:formatCode>
                <c:ptCount val="5"/>
                <c:pt idx="0">
                  <c:v>81454</c:v>
                </c:pt>
                <c:pt idx="1">
                  <c:v>130387</c:v>
                </c:pt>
                <c:pt idx="2">
                  <c:v>264412.64063957322</c:v>
                </c:pt>
                <c:pt idx="3">
                  <c:v>451210.05009300023</c:v>
                </c:pt>
                <c:pt idx="4">
                  <c:v>608598.65564620413</c:v>
                </c:pt>
              </c:numCache>
            </c:numRef>
          </c:val>
          <c:extLst>
            <c:ext xmlns:c16="http://schemas.microsoft.com/office/drawing/2014/chart" uri="{C3380CC4-5D6E-409C-BE32-E72D297353CC}">
              <c16:uniqueId val="{00000020-CE73-2745-A18A-66C40C413F8C}"/>
            </c:ext>
          </c:extLst>
        </c:ser>
        <c:ser>
          <c:idx val="3"/>
          <c:order val="3"/>
          <c:tx>
            <c:strRef>
              <c:f>Graphs!$A$290</c:f>
              <c:strCache>
                <c:ptCount val="1"/>
                <c:pt idx="0">
                  <c:v>Net income</c:v>
                </c:pt>
              </c:strCache>
            </c:strRef>
          </c:tx>
          <c:spPr>
            <a:solidFill>
              <a:srgbClr val="333333"/>
            </a:solidFill>
            <a:ln w="12600">
              <a:noFill/>
            </a:ln>
          </c:spPr>
          <c:invertIfNegative val="0"/>
          <c:dPt>
            <c:idx val="0"/>
            <c:invertIfNegative val="0"/>
            <c:bubble3D val="0"/>
            <c:spPr>
              <a:solidFill>
                <a:srgbClr val="333333"/>
              </a:solidFill>
              <a:ln w="0">
                <a:noFill/>
              </a:ln>
            </c:spPr>
            <c:extLst>
              <c:ext xmlns:c16="http://schemas.microsoft.com/office/drawing/2014/chart" uri="{C3380CC4-5D6E-409C-BE32-E72D297353CC}">
                <c16:uniqueId val="{00000022-CE73-2745-A18A-66C40C413F8C}"/>
              </c:ext>
            </c:extLst>
          </c:dPt>
          <c:dPt>
            <c:idx val="1"/>
            <c:invertIfNegative val="0"/>
            <c:bubble3D val="0"/>
            <c:spPr>
              <a:solidFill>
                <a:srgbClr val="333333"/>
              </a:solidFill>
              <a:ln w="0">
                <a:noFill/>
              </a:ln>
            </c:spPr>
            <c:extLst>
              <c:ext xmlns:c16="http://schemas.microsoft.com/office/drawing/2014/chart" uri="{C3380CC4-5D6E-409C-BE32-E72D297353CC}">
                <c16:uniqueId val="{00000024-CE73-2745-A18A-66C40C413F8C}"/>
              </c:ext>
            </c:extLst>
          </c:dPt>
          <c:dPt>
            <c:idx val="2"/>
            <c:invertIfNegative val="0"/>
            <c:bubble3D val="0"/>
            <c:spPr>
              <a:solidFill>
                <a:srgbClr val="B8C4CC"/>
              </a:solidFill>
              <a:ln w="0">
                <a:noFill/>
              </a:ln>
            </c:spPr>
            <c:extLst>
              <c:ext xmlns:c16="http://schemas.microsoft.com/office/drawing/2014/chart" uri="{C3380CC4-5D6E-409C-BE32-E72D297353CC}">
                <c16:uniqueId val="{00000026-CE73-2745-A18A-66C40C413F8C}"/>
              </c:ext>
            </c:extLst>
          </c:dPt>
          <c:dPt>
            <c:idx val="3"/>
            <c:invertIfNegative val="0"/>
            <c:bubble3D val="0"/>
            <c:spPr>
              <a:solidFill>
                <a:srgbClr val="B8C4CC"/>
              </a:solidFill>
              <a:ln w="0">
                <a:noFill/>
              </a:ln>
            </c:spPr>
            <c:extLst>
              <c:ext xmlns:c16="http://schemas.microsoft.com/office/drawing/2014/chart" uri="{C3380CC4-5D6E-409C-BE32-E72D297353CC}">
                <c16:uniqueId val="{00000028-CE73-2745-A18A-66C40C413F8C}"/>
              </c:ext>
            </c:extLst>
          </c:dPt>
          <c:dPt>
            <c:idx val="4"/>
            <c:invertIfNegative val="0"/>
            <c:bubble3D val="0"/>
            <c:spPr>
              <a:solidFill>
                <a:srgbClr val="B8C4CC"/>
              </a:solidFill>
              <a:ln w="0">
                <a:noFill/>
              </a:ln>
            </c:spPr>
            <c:extLst>
              <c:ext xmlns:c16="http://schemas.microsoft.com/office/drawing/2014/chart" uri="{C3380CC4-5D6E-409C-BE32-E72D297353CC}">
                <c16:uniqueId val="{0000002A-CE73-2745-A18A-66C40C413F8C}"/>
              </c:ext>
            </c:extLst>
          </c:dPt>
          <c:dLbls>
            <c:dLbl>
              <c:idx val="0"/>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22-CE73-2745-A18A-66C40C413F8C}"/>
                </c:ext>
              </c:extLst>
            </c:dLbl>
            <c:dLbl>
              <c:idx val="1"/>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24-CE73-2745-A18A-66C40C413F8C}"/>
                </c:ext>
              </c:extLst>
            </c:dLbl>
            <c:dLbl>
              <c:idx val="2"/>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26-CE73-2745-A18A-66C40C413F8C}"/>
                </c:ext>
              </c:extLst>
            </c:dLbl>
            <c:dLbl>
              <c:idx val="3"/>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28-CE73-2745-A18A-66C40C413F8C}"/>
                </c:ext>
              </c:extLst>
            </c:dLbl>
            <c:dLbl>
              <c:idx val="4"/>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extLst>
                <c:ext xmlns:c16="http://schemas.microsoft.com/office/drawing/2014/chart" uri="{C3380CC4-5D6E-409C-BE32-E72D297353CC}">
                  <c16:uniqueId val="{0000002A-CE73-2745-A18A-66C40C413F8C}"/>
                </c:ext>
              </c:extLst>
            </c:dLbl>
            <c:spPr>
              <a:noFill/>
              <a:ln>
                <a:noFill/>
              </a:ln>
              <a:effectLst/>
            </c:spPr>
            <c:txPr>
              <a:bodyPr wrap="square"/>
              <a:lstStyle/>
              <a:p>
                <a:pPr>
                  <a:defRPr sz="1000" b="0" u="none" strike="noStrike">
                    <a:solidFill>
                      <a:srgbClr val="000000"/>
                    </a:solidFill>
                    <a:uFillTx/>
                    <a:latin typeface="Calibri"/>
                  </a:defRPr>
                </a:pPr>
                <a:endParaRPr lang="zh-CN"/>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Graphs!$B$286:$F$286</c:f>
              <c:strCache>
                <c:ptCount val="5"/>
                <c:pt idx="0">
                  <c:v>FY2025A</c:v>
                </c:pt>
                <c:pt idx="1">
                  <c:v>FY2026A</c:v>
                </c:pt>
                <c:pt idx="2">
                  <c:v>FY2027E</c:v>
                </c:pt>
                <c:pt idx="3">
                  <c:v>FY2028E</c:v>
                </c:pt>
                <c:pt idx="4">
                  <c:v>FY2029E</c:v>
                </c:pt>
              </c:strCache>
            </c:strRef>
          </c:cat>
          <c:val>
            <c:numRef>
              <c:f>Graphs!$B$290:$F$290</c:f>
              <c:numCache>
                <c:formatCode>#,##0</c:formatCode>
                <c:ptCount val="5"/>
                <c:pt idx="0">
                  <c:v>72880</c:v>
                </c:pt>
                <c:pt idx="1">
                  <c:v>120067</c:v>
                </c:pt>
                <c:pt idx="2">
                  <c:v>239830.11363137202</c:v>
                </c:pt>
                <c:pt idx="3">
                  <c:v>377584.20771304588</c:v>
                </c:pt>
                <c:pt idx="4">
                  <c:v>513866.1480805038</c:v>
                </c:pt>
              </c:numCache>
            </c:numRef>
          </c:val>
          <c:extLst>
            <c:ext xmlns:c16="http://schemas.microsoft.com/office/drawing/2014/chart" uri="{C3380CC4-5D6E-409C-BE32-E72D297353CC}">
              <c16:uniqueId val="{0000002B-CE73-2745-A18A-66C40C413F8C}"/>
            </c:ext>
          </c:extLst>
        </c:ser>
        <c:dLbls>
          <c:showLegendKey val="0"/>
          <c:showVal val="0"/>
          <c:showCatName val="0"/>
          <c:showSerName val="0"/>
          <c:showPercent val="0"/>
          <c:showBubbleSize val="0"/>
        </c:dLbls>
        <c:gapWidth val="60"/>
        <c:overlap val="-10"/>
        <c:axId val="40939900"/>
        <c:axId val="6285761"/>
      </c:barChart>
      <c:lineChart>
        <c:grouping val="standard"/>
        <c:varyColors val="0"/>
        <c:ser>
          <c:idx val="4"/>
          <c:order val="4"/>
          <c:tx>
            <c:strRef>
              <c:f>Graphs!$A$291</c:f>
              <c:strCache>
                <c:ptCount val="1"/>
                <c:pt idx="0">
                  <c:v>Diluted EPS ($)</c:v>
                </c:pt>
              </c:strCache>
            </c:strRef>
          </c:tx>
          <c:spPr>
            <a:ln w="19080" cap="rnd">
              <a:solidFill>
                <a:srgbClr val="000000"/>
              </a:solidFill>
              <a:round/>
            </a:ln>
          </c:spPr>
          <c:marker>
            <c:symbol val="circle"/>
            <c:size val="5"/>
            <c:spPr>
              <a:solidFill>
                <a:srgbClr val="000000"/>
              </a:solidFill>
            </c:spPr>
          </c:marker>
          <c:dLbls>
            <c:spPr>
              <a:noFill/>
              <a:ln>
                <a:noFill/>
              </a:ln>
              <a:effectLst/>
            </c:spPr>
            <c:txPr>
              <a:bodyPr wrap="square"/>
              <a:lstStyle/>
              <a:p>
                <a:pPr>
                  <a:defRPr sz="800" b="0" u="none" strike="noStrike">
                    <a:solidFill>
                      <a:srgbClr val="333333"/>
                    </a:solidFill>
                    <a:uFillTx/>
                    <a:latin typeface="Arial"/>
                  </a:defRPr>
                </a:pPr>
                <a:endParaRPr lang="zh-CN"/>
              </a:p>
            </c:txPr>
            <c:dLblPos val="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Graphs!$B$286:$F$286</c:f>
              <c:strCache>
                <c:ptCount val="5"/>
                <c:pt idx="0">
                  <c:v>FY2025A</c:v>
                </c:pt>
                <c:pt idx="1">
                  <c:v>FY2026A</c:v>
                </c:pt>
                <c:pt idx="2">
                  <c:v>FY2027E</c:v>
                </c:pt>
                <c:pt idx="3">
                  <c:v>FY2028E</c:v>
                </c:pt>
                <c:pt idx="4">
                  <c:v>FY2029E</c:v>
                </c:pt>
              </c:strCache>
            </c:strRef>
          </c:cat>
          <c:val>
            <c:numRef>
              <c:f>Graphs!$B$291:$F$291</c:f>
              <c:numCache>
                <c:formatCode>\$0.00</c:formatCode>
                <c:ptCount val="5"/>
                <c:pt idx="0">
                  <c:v>2.9381765405470781</c:v>
                </c:pt>
                <c:pt idx="1">
                  <c:v>4.8977951824430441</c:v>
                </c:pt>
                <c:pt idx="2">
                  <c:v>9.8906276344757238</c:v>
                </c:pt>
                <c:pt idx="3">
                  <c:v>15.863756184801911</c:v>
                </c:pt>
                <c:pt idx="4">
                  <c:v>22.236078845696429</c:v>
                </c:pt>
              </c:numCache>
            </c:numRef>
          </c:val>
          <c:smooth val="0"/>
          <c:extLst>
            <c:ext xmlns:c16="http://schemas.microsoft.com/office/drawing/2014/chart" uri="{C3380CC4-5D6E-409C-BE32-E72D297353CC}">
              <c16:uniqueId val="{0000002C-CE73-2745-A18A-66C40C413F8C}"/>
            </c:ext>
          </c:extLst>
        </c:ser>
        <c:dLbls>
          <c:showLegendKey val="0"/>
          <c:showVal val="0"/>
          <c:showCatName val="0"/>
          <c:showSerName val="0"/>
          <c:showPercent val="0"/>
          <c:showBubbleSize val="0"/>
        </c:dLbls>
        <c:hiLowLines>
          <c:spPr>
            <a:ln w="0">
              <a:noFill/>
            </a:ln>
          </c:spPr>
        </c:hiLowLines>
        <c:marker val="1"/>
        <c:smooth val="0"/>
        <c:axId val="54373697"/>
        <c:axId val="62802026"/>
      </c:lineChart>
      <c:catAx>
        <c:axId val="40939900"/>
        <c:scaling>
          <c:orientation val="minMax"/>
        </c:scaling>
        <c:delete val="0"/>
        <c:axPos val="b"/>
        <c:numFmt formatCode="General" sourceLinked="0"/>
        <c:majorTickMark val="none"/>
        <c:minorTickMark val="none"/>
        <c:tickLblPos val="nextTo"/>
        <c:spPr>
          <a:ln w="6480">
            <a:solidFill>
              <a:srgbClr val="CCCCCC"/>
            </a:solidFill>
            <a:round/>
          </a:ln>
        </c:spPr>
        <c:txPr>
          <a:bodyPr/>
          <a:lstStyle/>
          <a:p>
            <a:pPr>
              <a:defRPr sz="750" b="0" u="none" strike="noStrike">
                <a:solidFill>
                  <a:srgbClr val="666666"/>
                </a:solidFill>
                <a:uFillTx/>
                <a:latin typeface="Arial"/>
              </a:defRPr>
            </a:pPr>
            <a:endParaRPr lang="zh-CN"/>
          </a:p>
        </c:txPr>
        <c:crossAx val="6285761"/>
        <c:crosses val="autoZero"/>
        <c:auto val="1"/>
        <c:lblAlgn val="ctr"/>
        <c:lblOffset val="100"/>
        <c:noMultiLvlLbl val="0"/>
      </c:catAx>
      <c:valAx>
        <c:axId val="6285761"/>
        <c:scaling>
          <c:orientation val="minMax"/>
        </c:scaling>
        <c:delete val="0"/>
        <c:axPos val="l"/>
        <c:numFmt formatCode="#,##0,\B"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40939900"/>
        <c:crosses val="autoZero"/>
        <c:crossBetween val="between"/>
      </c:valAx>
      <c:catAx>
        <c:axId val="54373697"/>
        <c:scaling>
          <c:orientation val="minMax"/>
        </c:scaling>
        <c:delete val="1"/>
        <c:axPos val="b"/>
        <c:numFmt formatCode="General" sourceLinked="1"/>
        <c:majorTickMark val="none"/>
        <c:minorTickMark val="none"/>
        <c:tickLblPos val="nextTo"/>
        <c:crossAx val="62802026"/>
        <c:crosses val="autoZero"/>
        <c:auto val="1"/>
        <c:lblAlgn val="ctr"/>
        <c:lblOffset val="100"/>
        <c:noMultiLvlLbl val="0"/>
      </c:catAx>
      <c:valAx>
        <c:axId val="62802026"/>
        <c:scaling>
          <c:orientation val="minMax"/>
        </c:scaling>
        <c:delete val="0"/>
        <c:axPos val="r"/>
        <c:numFmt formatCode="\$0"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54373697"/>
        <c:crosses val="max"/>
        <c:crossBetween val="between"/>
      </c:valAx>
      <c:spPr>
        <a:ln w="0">
          <a:noFill/>
        </a:ln>
      </c:spPr>
    </c:plotArea>
    <c:legend>
      <c:legendPos val="b"/>
      <c:overlay val="0"/>
      <c:spPr>
        <a:noFill/>
        <a:ln w="0">
          <a:noFill/>
        </a:ln>
      </c:spPr>
      <c:txPr>
        <a:bodyPr/>
        <a:lstStyle/>
        <a:p>
          <a:pPr>
            <a:defRPr sz="750" b="0" u="none" strike="noStrike">
              <a:solidFill>
                <a:srgbClr val="666666"/>
              </a:solidFill>
              <a:uFillTx/>
              <a:latin typeface="Arial"/>
            </a:defRPr>
          </a:pPr>
          <a:endParaRPr lang="zh-CN"/>
        </a:p>
      </c:txPr>
    </c:legend>
    <c:plotVisOnly val="1"/>
    <c:dispBlanksAs val="gap"/>
    <c:showDLblsOverMax val="1"/>
  </c:chart>
  <c:spPr>
    <a:ln w="9360">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c:style val="2"/>
  <c:chart>
    <c:autoTitleDeleted val="1"/>
    <c:plotArea>
      <c:layout/>
      <c:barChart>
        <c:barDir val="col"/>
        <c:grouping val="stacked"/>
        <c:varyColors val="0"/>
        <c:ser>
          <c:idx val="0"/>
          <c:order val="0"/>
          <c:tx>
            <c:strRef>
              <c:f>Graphs!$A$233</c:f>
              <c:strCache>
                <c:ptCount val="1"/>
                <c:pt idx="0">
                  <c:v>Base (offset)</c:v>
                </c:pt>
              </c:strCache>
            </c:strRef>
          </c:tx>
          <c:spPr>
            <a:noFill/>
            <a:ln w="1260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Graphs!$B$231:$H$231</c:f>
              <c:strCache>
                <c:ptCount val="7"/>
                <c:pt idx="0">
                  <c:v>Net income</c:v>
                </c:pt>
                <c:pt idx="1">
                  <c:v>D&amp;A</c:v>
                </c:pt>
                <c:pt idx="2">
                  <c:v>SBC</c:v>
                </c:pt>
                <c:pt idx="3">
                  <c:v>WC &amp; other</c:v>
                </c:pt>
                <c:pt idx="4">
                  <c:v>CFO</c:v>
                </c:pt>
                <c:pt idx="5">
                  <c:v>Capex</c:v>
                </c:pt>
                <c:pt idx="6">
                  <c:v>FCF</c:v>
                </c:pt>
              </c:strCache>
            </c:strRef>
          </c:cat>
          <c:val>
            <c:numRef>
              <c:f>Graphs!$B$233:$H$233</c:f>
              <c:numCache>
                <c:formatCode>#,##0</c:formatCode>
                <c:ptCount val="7"/>
                <c:pt idx="0">
                  <c:v>0</c:v>
                </c:pt>
                <c:pt idx="1">
                  <c:v>377584.20771304588</c:v>
                </c:pt>
                <c:pt idx="2">
                  <c:v>385905.50474470516</c:v>
                </c:pt>
                <c:pt idx="3">
                  <c:v>347608.98662316654</c:v>
                </c:pt>
                <c:pt idx="4">
                  <c:v>0</c:v>
                </c:pt>
                <c:pt idx="5">
                  <c:v>326667.70603296405</c:v>
                </c:pt>
                <c:pt idx="6">
                  <c:v>0</c:v>
                </c:pt>
              </c:numCache>
            </c:numRef>
          </c:val>
          <c:extLst>
            <c:ext xmlns:c16="http://schemas.microsoft.com/office/drawing/2014/chart" uri="{C3380CC4-5D6E-409C-BE32-E72D297353CC}">
              <c16:uniqueId val="{00000000-85A5-FE4C-83F5-5B8ECFBAFB7C}"/>
            </c:ext>
          </c:extLst>
        </c:ser>
        <c:ser>
          <c:idx val="1"/>
          <c:order val="1"/>
          <c:tx>
            <c:strRef>
              <c:f>Graphs!$A$234</c:f>
              <c:strCache>
                <c:ptCount val="1"/>
                <c:pt idx="0">
                  <c:v>Level</c:v>
                </c:pt>
              </c:strCache>
            </c:strRef>
          </c:tx>
          <c:spPr>
            <a:solidFill>
              <a:srgbClr val="051C2C"/>
            </a:solidFill>
            <a:ln w="12600">
              <a:noFill/>
            </a:ln>
          </c:spPr>
          <c:invertIfNegative val="0"/>
          <c:dLbls>
            <c:spPr>
              <a:noFill/>
              <a:ln>
                <a:noFill/>
              </a:ln>
              <a:effectLst/>
            </c:spPr>
            <c:txPr>
              <a:bodyPr wrap="square"/>
              <a:lstStyle/>
              <a:p>
                <a:pPr>
                  <a:defRPr sz="800" b="0" u="none" strike="noStrike">
                    <a:solidFill>
                      <a:srgbClr val="FFFFFF"/>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Graphs!$B$231:$H$231</c:f>
              <c:strCache>
                <c:ptCount val="7"/>
                <c:pt idx="0">
                  <c:v>Net income</c:v>
                </c:pt>
                <c:pt idx="1">
                  <c:v>D&amp;A</c:v>
                </c:pt>
                <c:pt idx="2">
                  <c:v>SBC</c:v>
                </c:pt>
                <c:pt idx="3">
                  <c:v>WC &amp; other</c:v>
                </c:pt>
                <c:pt idx="4">
                  <c:v>CFO</c:v>
                </c:pt>
                <c:pt idx="5">
                  <c:v>Capex</c:v>
                </c:pt>
                <c:pt idx="6">
                  <c:v>FCF</c:v>
                </c:pt>
              </c:strCache>
            </c:strRef>
          </c:cat>
          <c:val>
            <c:numRef>
              <c:f>Graphs!$B$234:$H$234</c:f>
              <c:numCache>
                <c:formatCode>General</c:formatCode>
                <c:ptCount val="7"/>
                <c:pt idx="0" formatCode="#,##0">
                  <c:v>377584.20771304588</c:v>
                </c:pt>
                <c:pt idx="4" formatCode="#,##0">
                  <c:v>347608.98662316654</c:v>
                </c:pt>
                <c:pt idx="6" formatCode="#,##0">
                  <c:v>326667.70603296405</c:v>
                </c:pt>
              </c:numCache>
            </c:numRef>
          </c:val>
          <c:extLst>
            <c:ext xmlns:c16="http://schemas.microsoft.com/office/drawing/2014/chart" uri="{C3380CC4-5D6E-409C-BE32-E72D297353CC}">
              <c16:uniqueId val="{00000001-85A5-FE4C-83F5-5B8ECFBAFB7C}"/>
            </c:ext>
          </c:extLst>
        </c:ser>
        <c:ser>
          <c:idx val="2"/>
          <c:order val="2"/>
          <c:tx>
            <c:strRef>
              <c:f>Graphs!$A$235</c:f>
              <c:strCache>
                <c:ptCount val="1"/>
                <c:pt idx="0">
                  <c:v>Increase</c:v>
                </c:pt>
              </c:strCache>
            </c:strRef>
          </c:tx>
          <c:spPr>
            <a:solidFill>
              <a:srgbClr val="00A9F4"/>
            </a:solidFill>
            <a:ln w="12600">
              <a:noFill/>
            </a:ln>
          </c:spPr>
          <c:invertIfNegative val="0"/>
          <c:dLbls>
            <c:spPr>
              <a:noFill/>
              <a:ln>
                <a:noFill/>
              </a:ln>
              <a:effectLst/>
            </c:spPr>
            <c:txPr>
              <a:bodyPr wrap="square"/>
              <a:lstStyle/>
              <a:p>
                <a:pPr>
                  <a:defRPr sz="800" b="0" u="none" strike="noStrike">
                    <a:solidFill>
                      <a:srgbClr val="051C2C"/>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Graphs!$B$231:$H$231</c:f>
              <c:strCache>
                <c:ptCount val="7"/>
                <c:pt idx="0">
                  <c:v>Net income</c:v>
                </c:pt>
                <c:pt idx="1">
                  <c:v>D&amp;A</c:v>
                </c:pt>
                <c:pt idx="2">
                  <c:v>SBC</c:v>
                </c:pt>
                <c:pt idx="3">
                  <c:v>WC &amp; other</c:v>
                </c:pt>
                <c:pt idx="4">
                  <c:v>CFO</c:v>
                </c:pt>
                <c:pt idx="5">
                  <c:v>Capex</c:v>
                </c:pt>
                <c:pt idx="6">
                  <c:v>FCF</c:v>
                </c:pt>
              </c:strCache>
            </c:strRef>
          </c:cat>
          <c:val>
            <c:numRef>
              <c:f>Graphs!$B$235:$H$235</c:f>
              <c:numCache>
                <c:formatCode>#,##0</c:formatCode>
                <c:ptCount val="7"/>
                <c:pt idx="1">
                  <c:v>8321.2970316593128</c:v>
                </c:pt>
                <c:pt idx="2">
                  <c:v>9240</c:v>
                </c:pt>
              </c:numCache>
            </c:numRef>
          </c:val>
          <c:extLst>
            <c:ext xmlns:c16="http://schemas.microsoft.com/office/drawing/2014/chart" uri="{C3380CC4-5D6E-409C-BE32-E72D297353CC}">
              <c16:uniqueId val="{00000002-85A5-FE4C-83F5-5B8ECFBAFB7C}"/>
            </c:ext>
          </c:extLst>
        </c:ser>
        <c:ser>
          <c:idx val="3"/>
          <c:order val="3"/>
          <c:tx>
            <c:strRef>
              <c:f>Graphs!$A$236</c:f>
              <c:strCache>
                <c:ptCount val="1"/>
                <c:pt idx="0">
                  <c:v>Decrease</c:v>
                </c:pt>
              </c:strCache>
            </c:strRef>
          </c:tx>
          <c:spPr>
            <a:solidFill>
              <a:srgbClr val="B8C4CC"/>
            </a:solidFill>
            <a:ln w="12600">
              <a:noFill/>
            </a:ln>
          </c:spPr>
          <c:invertIfNegative val="0"/>
          <c:dLbls>
            <c:spPr>
              <a:noFill/>
              <a:ln>
                <a:noFill/>
              </a:ln>
              <a:effectLst/>
            </c:spPr>
            <c:txPr>
              <a:bodyPr wrap="square"/>
              <a:lstStyle/>
              <a:p>
                <a:pPr>
                  <a:defRPr sz="800" b="0" u="none" strike="noStrike">
                    <a:solidFill>
                      <a:srgbClr val="000000"/>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Graphs!$B$231:$H$231</c:f>
              <c:strCache>
                <c:ptCount val="7"/>
                <c:pt idx="0">
                  <c:v>Net income</c:v>
                </c:pt>
                <c:pt idx="1">
                  <c:v>D&amp;A</c:v>
                </c:pt>
                <c:pt idx="2">
                  <c:v>SBC</c:v>
                </c:pt>
                <c:pt idx="3">
                  <c:v>WC &amp; other</c:v>
                </c:pt>
                <c:pt idx="4">
                  <c:v>CFO</c:v>
                </c:pt>
                <c:pt idx="5">
                  <c:v>Capex</c:v>
                </c:pt>
                <c:pt idx="6">
                  <c:v>FCF</c:v>
                </c:pt>
              </c:strCache>
            </c:strRef>
          </c:cat>
          <c:val>
            <c:numRef>
              <c:f>Graphs!$B$236:$H$236</c:f>
              <c:numCache>
                <c:formatCode>General</c:formatCode>
                <c:ptCount val="7"/>
                <c:pt idx="3" formatCode="#,##0">
                  <c:v>47536.51812153864</c:v>
                </c:pt>
                <c:pt idx="5" formatCode="#,##0">
                  <c:v>20941.280590202488</c:v>
                </c:pt>
              </c:numCache>
            </c:numRef>
          </c:val>
          <c:extLst>
            <c:ext xmlns:c16="http://schemas.microsoft.com/office/drawing/2014/chart" uri="{C3380CC4-5D6E-409C-BE32-E72D297353CC}">
              <c16:uniqueId val="{00000003-85A5-FE4C-83F5-5B8ECFBAFB7C}"/>
            </c:ext>
          </c:extLst>
        </c:ser>
        <c:dLbls>
          <c:showLegendKey val="0"/>
          <c:showVal val="0"/>
          <c:showCatName val="0"/>
          <c:showSerName val="0"/>
          <c:showPercent val="0"/>
          <c:showBubbleSize val="0"/>
        </c:dLbls>
        <c:gapWidth val="40"/>
        <c:overlap val="100"/>
        <c:axId val="20978435"/>
        <c:axId val="54055777"/>
      </c:barChart>
      <c:catAx>
        <c:axId val="20978435"/>
        <c:scaling>
          <c:orientation val="minMax"/>
        </c:scaling>
        <c:delete val="0"/>
        <c:axPos val="b"/>
        <c:numFmt formatCode="General"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54055777"/>
        <c:crosses val="autoZero"/>
        <c:auto val="1"/>
        <c:lblAlgn val="ctr"/>
        <c:lblOffset val="100"/>
        <c:noMultiLvlLbl val="0"/>
      </c:catAx>
      <c:valAx>
        <c:axId val="54055777"/>
        <c:scaling>
          <c:orientation val="minMax"/>
          <c:min val="0"/>
        </c:scaling>
        <c:delete val="0"/>
        <c:axPos val="l"/>
        <c:numFmt formatCode="#,##0,\B"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20978435"/>
        <c:crosses val="autoZero"/>
        <c:crossBetween val="between"/>
      </c:valAx>
      <c:spPr>
        <a:ln w="0">
          <a:noFill/>
        </a:ln>
      </c:spPr>
    </c:plotArea>
    <c:legend>
      <c:legendPos val="b"/>
      <c:legendEntry>
        <c:idx val="0"/>
        <c:delete val="1"/>
      </c:legendEntry>
      <c:overlay val="0"/>
      <c:spPr>
        <a:noFill/>
        <a:ln w="0">
          <a:noFill/>
        </a:ln>
      </c:spPr>
      <c:txPr>
        <a:bodyPr/>
        <a:lstStyle/>
        <a:p>
          <a:pPr>
            <a:defRPr sz="800" b="0" u="none" strike="noStrike">
              <a:solidFill>
                <a:srgbClr val="666666"/>
              </a:solidFill>
              <a:uFillTx/>
              <a:latin typeface="Arial"/>
            </a:defRPr>
          </a:pPr>
          <a:endParaRPr lang="zh-CN"/>
        </a:p>
      </c:txPr>
    </c:legend>
    <c:plotVisOnly val="1"/>
    <c:dispBlanksAs val="gap"/>
    <c:showDLblsOverMax val="1"/>
  </c:chart>
  <c:spPr>
    <a:ln w="9360">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c:style val="2"/>
  <c:chart>
    <c:autoTitleDeleted val="1"/>
    <c:plotArea>
      <c:layout/>
      <c:barChart>
        <c:barDir val="col"/>
        <c:grouping val="stacked"/>
        <c:varyColors val="0"/>
        <c:ser>
          <c:idx val="0"/>
          <c:order val="0"/>
          <c:tx>
            <c:strRef>
              <c:f>Graphs!$A$240</c:f>
              <c:strCache>
                <c:ptCount val="1"/>
                <c:pt idx="0">
                  <c:v>Buybacks</c:v>
                </c:pt>
              </c:strCache>
            </c:strRef>
          </c:tx>
          <c:spPr>
            <a:solidFill>
              <a:srgbClr val="051C2C"/>
            </a:solidFill>
            <a:ln w="12600">
              <a:noFill/>
            </a:ln>
          </c:spPr>
          <c:invertIfNegative val="0"/>
          <c:dLbls>
            <c:spPr>
              <a:noFill/>
              <a:ln>
                <a:noFill/>
              </a:ln>
              <a:effectLst/>
            </c:spPr>
            <c:txPr>
              <a:bodyPr wrap="square"/>
              <a:lstStyle/>
              <a:p>
                <a:pPr>
                  <a:defRPr sz="800" b="0" u="none" strike="noStrike">
                    <a:solidFill>
                      <a:srgbClr val="FFFFFF"/>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Graphs!$B$239:$F$239</c:f>
              <c:strCache>
                <c:ptCount val="5"/>
                <c:pt idx="0">
                  <c:v>FY2025A</c:v>
                </c:pt>
                <c:pt idx="1">
                  <c:v>FY2026A</c:v>
                </c:pt>
                <c:pt idx="2">
                  <c:v>FY2027E</c:v>
                </c:pt>
                <c:pt idx="3">
                  <c:v>FY2028E</c:v>
                </c:pt>
                <c:pt idx="4">
                  <c:v>FY2029E</c:v>
                </c:pt>
              </c:strCache>
            </c:strRef>
          </c:cat>
          <c:val>
            <c:numRef>
              <c:f>Graphs!$B$240:$F$240</c:f>
              <c:numCache>
                <c:formatCode>#,##0</c:formatCode>
                <c:ptCount val="5"/>
                <c:pt idx="0">
                  <c:v>33706</c:v>
                </c:pt>
                <c:pt idx="1">
                  <c:v>40086</c:v>
                </c:pt>
                <c:pt idx="2">
                  <c:v>79300.456693887783</c:v>
                </c:pt>
                <c:pt idx="3">
                  <c:v>139333.85301648203</c:v>
                </c:pt>
                <c:pt idx="4">
                  <c:v>219110.44288797057</c:v>
                </c:pt>
              </c:numCache>
            </c:numRef>
          </c:val>
          <c:extLst>
            <c:ext xmlns:c16="http://schemas.microsoft.com/office/drawing/2014/chart" uri="{C3380CC4-5D6E-409C-BE32-E72D297353CC}">
              <c16:uniqueId val="{00000000-2A88-9C46-B91B-8C2107B53153}"/>
            </c:ext>
          </c:extLst>
        </c:ser>
        <c:ser>
          <c:idx val="1"/>
          <c:order val="1"/>
          <c:tx>
            <c:strRef>
              <c:f>Graphs!$A$241</c:f>
              <c:strCache>
                <c:ptCount val="1"/>
                <c:pt idx="0">
                  <c:v>Dividends</c:v>
                </c:pt>
              </c:strCache>
            </c:strRef>
          </c:tx>
          <c:spPr>
            <a:solidFill>
              <a:srgbClr val="006BA6"/>
            </a:solidFill>
            <a:ln w="1260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Graphs!$B$239:$F$239</c:f>
              <c:strCache>
                <c:ptCount val="5"/>
                <c:pt idx="0">
                  <c:v>FY2025A</c:v>
                </c:pt>
                <c:pt idx="1">
                  <c:v>FY2026A</c:v>
                </c:pt>
                <c:pt idx="2">
                  <c:v>FY2027E</c:v>
                </c:pt>
                <c:pt idx="3">
                  <c:v>FY2028E</c:v>
                </c:pt>
                <c:pt idx="4">
                  <c:v>FY2029E</c:v>
                </c:pt>
              </c:strCache>
            </c:strRef>
          </c:cat>
          <c:val>
            <c:numRef>
              <c:f>Graphs!$B$241:$F$241</c:f>
              <c:numCache>
                <c:formatCode>#,##0</c:formatCode>
                <c:ptCount val="5"/>
                <c:pt idx="0">
                  <c:v>834</c:v>
                </c:pt>
                <c:pt idx="1">
                  <c:v>974</c:v>
                </c:pt>
                <c:pt idx="2">
                  <c:v>18290</c:v>
                </c:pt>
                <c:pt idx="3">
                  <c:v>24000</c:v>
                </c:pt>
                <c:pt idx="4">
                  <c:v>24000</c:v>
                </c:pt>
              </c:numCache>
            </c:numRef>
          </c:val>
          <c:extLst>
            <c:ext xmlns:c16="http://schemas.microsoft.com/office/drawing/2014/chart" uri="{C3380CC4-5D6E-409C-BE32-E72D297353CC}">
              <c16:uniqueId val="{00000001-2A88-9C46-B91B-8C2107B53153}"/>
            </c:ext>
          </c:extLst>
        </c:ser>
        <c:ser>
          <c:idx val="2"/>
          <c:order val="2"/>
          <c:tx>
            <c:strRef>
              <c:f>Graphs!$A$242</c:f>
              <c:strCache>
                <c:ptCount val="1"/>
                <c:pt idx="0">
                  <c:v>SBC tax withholding</c:v>
                </c:pt>
              </c:strCache>
            </c:strRef>
          </c:tx>
          <c:spPr>
            <a:solidFill>
              <a:srgbClr val="B8C4CC"/>
            </a:solidFill>
            <a:ln w="1260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Graphs!$B$239:$F$239</c:f>
              <c:strCache>
                <c:ptCount val="5"/>
                <c:pt idx="0">
                  <c:v>FY2025A</c:v>
                </c:pt>
                <c:pt idx="1">
                  <c:v>FY2026A</c:v>
                </c:pt>
                <c:pt idx="2">
                  <c:v>FY2027E</c:v>
                </c:pt>
                <c:pt idx="3">
                  <c:v>FY2028E</c:v>
                </c:pt>
                <c:pt idx="4">
                  <c:v>FY2029E</c:v>
                </c:pt>
              </c:strCache>
            </c:strRef>
          </c:cat>
          <c:val>
            <c:numRef>
              <c:f>Graphs!$B$242:$F$242</c:f>
              <c:numCache>
                <c:formatCode>#,##0</c:formatCode>
                <c:ptCount val="5"/>
                <c:pt idx="0">
                  <c:v>6930</c:v>
                </c:pt>
                <c:pt idx="1">
                  <c:v>7948</c:v>
                </c:pt>
                <c:pt idx="2">
                  <c:v>9131</c:v>
                </c:pt>
                <c:pt idx="3">
                  <c:v>9200</c:v>
                </c:pt>
                <c:pt idx="4">
                  <c:v>9200</c:v>
                </c:pt>
              </c:numCache>
            </c:numRef>
          </c:val>
          <c:extLst>
            <c:ext xmlns:c16="http://schemas.microsoft.com/office/drawing/2014/chart" uri="{C3380CC4-5D6E-409C-BE32-E72D297353CC}">
              <c16:uniqueId val="{00000002-2A88-9C46-B91B-8C2107B53153}"/>
            </c:ext>
          </c:extLst>
        </c:ser>
        <c:ser>
          <c:idx val="3"/>
          <c:order val="3"/>
          <c:tx>
            <c:strRef>
              <c:f>Graphs!$A$243</c:f>
              <c:strCache>
                <c:ptCount val="1"/>
                <c:pt idx="0">
                  <c:v>Retained (cash &amp; other)</c:v>
                </c:pt>
              </c:strCache>
            </c:strRef>
          </c:tx>
          <c:spPr>
            <a:solidFill>
              <a:srgbClr val="E3F2FD"/>
            </a:solidFill>
            <a:ln w="12600">
              <a:noFill/>
            </a:ln>
          </c:spPr>
          <c:invertIfNegative val="0"/>
          <c:dLbls>
            <c:spPr>
              <a:noFill/>
              <a:ln>
                <a:noFill/>
              </a:ln>
              <a:effectLst/>
            </c:spPr>
            <c:txPr>
              <a:bodyPr wrap="square"/>
              <a:lstStyle/>
              <a:p>
                <a:pPr>
                  <a:defRPr sz="800" b="0" u="none" strike="noStrike">
                    <a:solidFill>
                      <a:srgbClr val="333333"/>
                    </a:solidFill>
                    <a:uFillTx/>
                    <a:latin typeface="Arial"/>
                  </a:defRPr>
                </a:pPr>
                <a:endParaRPr lang="zh-CN"/>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Graphs!$B$239:$F$239</c:f>
              <c:strCache>
                <c:ptCount val="5"/>
                <c:pt idx="0">
                  <c:v>FY2025A</c:v>
                </c:pt>
                <c:pt idx="1">
                  <c:v>FY2026A</c:v>
                </c:pt>
                <c:pt idx="2">
                  <c:v>FY2027E</c:v>
                </c:pt>
                <c:pt idx="3">
                  <c:v>FY2028E</c:v>
                </c:pt>
                <c:pt idx="4">
                  <c:v>FY2029E</c:v>
                </c:pt>
              </c:strCache>
            </c:strRef>
          </c:cat>
          <c:val>
            <c:numRef>
              <c:f>Graphs!$B$243:$F$243</c:f>
              <c:numCache>
                <c:formatCode>#,##0</c:formatCode>
                <c:ptCount val="5"/>
                <c:pt idx="0">
                  <c:v>19383</c:v>
                </c:pt>
                <c:pt idx="1">
                  <c:v>47668</c:v>
                </c:pt>
                <c:pt idx="2">
                  <c:v>67778.456693887812</c:v>
                </c:pt>
                <c:pt idx="3">
                  <c:v>154133.85301648203</c:v>
                </c:pt>
                <c:pt idx="4">
                  <c:v>233910.4428879706</c:v>
                </c:pt>
              </c:numCache>
            </c:numRef>
          </c:val>
          <c:extLst>
            <c:ext xmlns:c16="http://schemas.microsoft.com/office/drawing/2014/chart" uri="{C3380CC4-5D6E-409C-BE32-E72D297353CC}">
              <c16:uniqueId val="{00000003-2A88-9C46-B91B-8C2107B53153}"/>
            </c:ext>
          </c:extLst>
        </c:ser>
        <c:dLbls>
          <c:showLegendKey val="0"/>
          <c:showVal val="0"/>
          <c:showCatName val="0"/>
          <c:showSerName val="0"/>
          <c:showPercent val="0"/>
          <c:showBubbleSize val="0"/>
        </c:dLbls>
        <c:gapWidth val="55"/>
        <c:overlap val="100"/>
        <c:axId val="10139169"/>
        <c:axId val="2486008"/>
      </c:barChart>
      <c:catAx>
        <c:axId val="10139169"/>
        <c:scaling>
          <c:orientation val="minMax"/>
        </c:scaling>
        <c:delete val="0"/>
        <c:axPos val="b"/>
        <c:numFmt formatCode="General" sourceLinked="0"/>
        <c:majorTickMark val="none"/>
        <c:minorTickMark val="none"/>
        <c:tickLblPos val="nextTo"/>
        <c:spPr>
          <a:ln w="6480">
            <a:solidFill>
              <a:srgbClr val="CCCCCC"/>
            </a:solidFill>
            <a:round/>
          </a:ln>
        </c:spPr>
        <c:txPr>
          <a:bodyPr/>
          <a:lstStyle/>
          <a:p>
            <a:pPr>
              <a:defRPr sz="850" b="0" u="none" strike="noStrike">
                <a:solidFill>
                  <a:srgbClr val="666666"/>
                </a:solidFill>
                <a:uFillTx/>
                <a:latin typeface="Arial"/>
              </a:defRPr>
            </a:pPr>
            <a:endParaRPr lang="zh-CN"/>
          </a:p>
        </c:txPr>
        <c:crossAx val="2486008"/>
        <c:crosses val="autoZero"/>
        <c:auto val="1"/>
        <c:lblAlgn val="ctr"/>
        <c:lblOffset val="100"/>
        <c:noMultiLvlLbl val="0"/>
      </c:catAx>
      <c:valAx>
        <c:axId val="2486008"/>
        <c:scaling>
          <c:orientation val="minMax"/>
          <c:max val="550000"/>
          <c:min val="0"/>
        </c:scaling>
        <c:delete val="0"/>
        <c:axPos val="l"/>
        <c:numFmt formatCode="#,##0,\B"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10139169"/>
        <c:crosses val="autoZero"/>
        <c:crossBetween val="between"/>
      </c:valAx>
      <c:spPr>
        <a:ln w="0">
          <a:noFill/>
        </a:ln>
      </c:spPr>
    </c:plotArea>
    <c:legend>
      <c:legendPos val="b"/>
      <c:overlay val="0"/>
      <c:spPr>
        <a:noFill/>
        <a:ln w="0">
          <a:noFill/>
        </a:ln>
      </c:spPr>
      <c:txPr>
        <a:bodyPr/>
        <a:lstStyle/>
        <a:p>
          <a:pPr>
            <a:defRPr sz="800" b="0" u="none" strike="noStrike">
              <a:solidFill>
                <a:srgbClr val="666666"/>
              </a:solidFill>
              <a:uFillTx/>
              <a:latin typeface="Arial"/>
            </a:defRPr>
          </a:pPr>
          <a:endParaRPr lang="zh-CN"/>
        </a:p>
      </c:txPr>
    </c:legend>
    <c:plotVisOnly val="1"/>
    <c:dispBlanksAs val="gap"/>
    <c:showDLblsOverMax val="1"/>
  </c:chart>
  <c:spPr>
    <a:ln w="9360">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c:style val="2"/>
  <c:chart>
    <c:autoTitleDeleted val="1"/>
    <c:plotArea>
      <c:layout/>
      <c:doughnutChart>
        <c:varyColors val="1"/>
        <c:ser>
          <c:idx val="0"/>
          <c:order val="0"/>
          <c:spPr>
            <a:ln w="12600">
              <a:noFill/>
            </a:ln>
          </c:spPr>
          <c:dPt>
            <c:idx val="0"/>
            <c:bubble3D val="0"/>
            <c:spPr>
              <a:solidFill>
                <a:srgbClr val="051C2C"/>
              </a:solidFill>
              <a:ln w="0">
                <a:noFill/>
              </a:ln>
            </c:spPr>
            <c:extLst>
              <c:ext xmlns:c16="http://schemas.microsoft.com/office/drawing/2014/chart" uri="{C3380CC4-5D6E-409C-BE32-E72D297353CC}">
                <c16:uniqueId val="{00000001-AF92-7943-AC47-45A61BE890BC}"/>
              </c:ext>
            </c:extLst>
          </c:dPt>
          <c:dPt>
            <c:idx val="1"/>
            <c:bubble3D val="0"/>
            <c:spPr>
              <a:solidFill>
                <a:srgbClr val="006BA6"/>
              </a:solidFill>
              <a:ln w="0">
                <a:noFill/>
              </a:ln>
            </c:spPr>
            <c:extLst>
              <c:ext xmlns:c16="http://schemas.microsoft.com/office/drawing/2014/chart" uri="{C3380CC4-5D6E-409C-BE32-E72D297353CC}">
                <c16:uniqueId val="{00000003-AF92-7943-AC47-45A61BE890BC}"/>
              </c:ext>
            </c:extLst>
          </c:dPt>
          <c:dPt>
            <c:idx val="2"/>
            <c:bubble3D val="0"/>
            <c:spPr>
              <a:solidFill>
                <a:srgbClr val="24435A"/>
              </a:solidFill>
              <a:ln w="0">
                <a:noFill/>
              </a:ln>
            </c:spPr>
            <c:extLst>
              <c:ext xmlns:c16="http://schemas.microsoft.com/office/drawing/2014/chart" uri="{C3380CC4-5D6E-409C-BE32-E72D297353CC}">
                <c16:uniqueId val="{00000005-AF92-7943-AC47-45A61BE890BC}"/>
              </c:ext>
            </c:extLst>
          </c:dPt>
          <c:dPt>
            <c:idx val="3"/>
            <c:bubble3D val="0"/>
            <c:spPr>
              <a:solidFill>
                <a:srgbClr val="2E6DB4"/>
              </a:solidFill>
              <a:ln w="0">
                <a:noFill/>
              </a:ln>
            </c:spPr>
            <c:extLst>
              <c:ext xmlns:c16="http://schemas.microsoft.com/office/drawing/2014/chart" uri="{C3380CC4-5D6E-409C-BE32-E72D297353CC}">
                <c16:uniqueId val="{00000007-AF92-7943-AC47-45A61BE890BC}"/>
              </c:ext>
            </c:extLst>
          </c:dPt>
          <c:dPt>
            <c:idx val="4"/>
            <c:bubble3D val="0"/>
            <c:spPr>
              <a:solidFill>
                <a:srgbClr val="00A9F4"/>
              </a:solidFill>
              <a:ln w="0">
                <a:noFill/>
              </a:ln>
            </c:spPr>
            <c:extLst>
              <c:ext xmlns:c16="http://schemas.microsoft.com/office/drawing/2014/chart" uri="{C3380CC4-5D6E-409C-BE32-E72D297353CC}">
                <c16:uniqueId val="{00000009-AF92-7943-AC47-45A61BE890BC}"/>
              </c:ext>
            </c:extLst>
          </c:dPt>
          <c:dPt>
            <c:idx val="5"/>
            <c:bubble3D val="0"/>
            <c:spPr>
              <a:solidFill>
                <a:srgbClr val="666666"/>
              </a:solidFill>
              <a:ln w="0">
                <a:noFill/>
              </a:ln>
            </c:spPr>
            <c:extLst>
              <c:ext xmlns:c16="http://schemas.microsoft.com/office/drawing/2014/chart" uri="{C3380CC4-5D6E-409C-BE32-E72D297353CC}">
                <c16:uniqueId val="{0000000B-AF92-7943-AC47-45A61BE890BC}"/>
              </c:ext>
            </c:extLst>
          </c:dPt>
          <c:dLbls>
            <c:dLbl>
              <c:idx val="0"/>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1-AF92-7943-AC47-45A61BE890BC}"/>
                </c:ext>
              </c:extLst>
            </c:dLbl>
            <c:dLbl>
              <c:idx val="1"/>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3-AF92-7943-AC47-45A61BE890BC}"/>
                </c:ext>
              </c:extLst>
            </c:dLbl>
            <c:dLbl>
              <c:idx val="2"/>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5-AF92-7943-AC47-45A61BE890BC}"/>
                </c:ext>
              </c:extLst>
            </c:dLbl>
            <c:dLbl>
              <c:idx val="3"/>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7-AF92-7943-AC47-45A61BE890BC}"/>
                </c:ext>
              </c:extLst>
            </c:dLbl>
            <c:dLbl>
              <c:idx val="4"/>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9-AF92-7943-AC47-45A61BE890BC}"/>
                </c:ext>
              </c:extLst>
            </c:dLbl>
            <c:dLbl>
              <c:idx val="5"/>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extLst>
                <c:ext xmlns:c16="http://schemas.microsoft.com/office/drawing/2014/chart" uri="{C3380CC4-5D6E-409C-BE32-E72D297353CC}">
                  <c16:uniqueId val="{0000000B-AF92-7943-AC47-45A61BE890BC}"/>
                </c:ext>
              </c:extLst>
            </c:dLbl>
            <c:spPr>
              <a:noFill/>
              <a:ln>
                <a:noFill/>
              </a:ln>
              <a:effectLst/>
            </c:spPr>
            <c:txPr>
              <a:bodyPr wrap="square"/>
              <a:lstStyle/>
              <a:p>
                <a:pPr>
                  <a:defRPr sz="800" b="0" u="none" strike="noStrike">
                    <a:solidFill>
                      <a:srgbClr val="FFFFFF"/>
                    </a:solidFill>
                    <a:uFillTx/>
                    <a:latin typeface="Arial"/>
                  </a:defRPr>
                </a:pPr>
                <a:endParaRPr lang="zh-CN"/>
              </a:p>
            </c:txPr>
            <c:showLegendKey val="0"/>
            <c:showVal val="0"/>
            <c:showCatName val="0"/>
            <c:showSerName val="0"/>
            <c:showPercent val="1"/>
            <c:showBubbleSize val="1"/>
            <c:separator>
</c:separator>
            <c:showLeaderLines val="1"/>
            <c:leaderLines>
              <c:spPr>
                <a:ln w="0">
                  <a:solidFill>
                    <a:srgbClr val="000000"/>
                  </a:solidFill>
                </a:ln>
              </c:spPr>
            </c:leaderLines>
            <c:extLst>
              <c:ext xmlns:c15="http://schemas.microsoft.com/office/drawing/2012/chart" uri="{CE6537A1-D6FC-4f65-9D91-7224C49458BB}"/>
            </c:extLst>
          </c:dLbls>
          <c:cat>
            <c:strRef>
              <c:f>Graphs!$A$277:$A$282</c:f>
              <c:strCache>
                <c:ptCount val="6"/>
                <c:pt idx="0">
                  <c:v>BlackRock Inc.</c:v>
                </c:pt>
                <c:pt idx="1">
                  <c:v>Vanguard Capital Management</c:v>
                </c:pt>
                <c:pt idx="2">
                  <c:v>State Street Investment Management</c:v>
                </c:pt>
                <c:pt idx="3">
                  <c:v>FMR LLC</c:v>
                </c:pt>
                <c:pt idx="4">
                  <c:v>Jen-Hsun Huang (co-founder, CEO)</c:v>
                </c:pt>
                <c:pt idx="5">
                  <c:v>All other holders</c:v>
                </c:pt>
              </c:strCache>
            </c:strRef>
          </c:cat>
          <c:val>
            <c:numRef>
              <c:f>Graphs!$B$277:$B$282</c:f>
              <c:numCache>
                <c:formatCode>0.0\%</c:formatCode>
                <c:ptCount val="6"/>
                <c:pt idx="0">
                  <c:v>8.0399999999999991</c:v>
                </c:pt>
                <c:pt idx="1">
                  <c:v>6.95</c:v>
                </c:pt>
                <c:pt idx="2">
                  <c:v>4.18</c:v>
                </c:pt>
                <c:pt idx="3">
                  <c:v>3.88</c:v>
                </c:pt>
                <c:pt idx="4">
                  <c:v>3.56</c:v>
                </c:pt>
                <c:pt idx="5">
                  <c:v>73.39</c:v>
                </c:pt>
              </c:numCache>
            </c:numRef>
          </c:val>
          <c:extLst>
            <c:ext xmlns:c16="http://schemas.microsoft.com/office/drawing/2014/chart" uri="{C3380CC4-5D6E-409C-BE32-E72D297353CC}">
              <c16:uniqueId val="{0000000C-AF92-7943-AC47-45A61BE890BC}"/>
            </c:ext>
          </c:extLst>
        </c:ser>
        <c:dLbls>
          <c:showLegendKey val="0"/>
          <c:showVal val="0"/>
          <c:showCatName val="0"/>
          <c:showSerName val="0"/>
          <c:showPercent val="0"/>
          <c:showBubbleSize val="0"/>
          <c:showLeaderLines val="1"/>
        </c:dLbls>
        <c:firstSliceAng val="0"/>
        <c:holeSize val="50"/>
      </c:doughnutChart>
      <c:spPr>
        <a:ln w="0">
          <a:noFill/>
        </a:ln>
      </c:spPr>
    </c:plotArea>
    <c:legend>
      <c:legendPos val="b"/>
      <c:overlay val="0"/>
      <c:spPr>
        <a:noFill/>
        <a:ln w="0">
          <a:noFill/>
        </a:ln>
      </c:spPr>
      <c:txPr>
        <a:bodyPr/>
        <a:lstStyle/>
        <a:p>
          <a:pPr>
            <a:defRPr sz="800" b="0" u="none" strike="noStrike">
              <a:solidFill>
                <a:srgbClr val="666666"/>
              </a:solidFill>
              <a:uFillTx/>
              <a:latin typeface="Arial"/>
            </a:defRPr>
          </a:pPr>
          <a:endParaRPr lang="zh-CN"/>
        </a:p>
      </c:txPr>
    </c:legend>
    <c:plotVisOnly val="1"/>
    <c:dispBlanksAs val="gap"/>
    <c:showDLblsOverMax val="1"/>
  </c:chart>
  <c:spPr>
    <a:ln w="9360">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c:style val="2"/>
  <c:chart>
    <c:autoTitleDeleted val="1"/>
    <c:plotArea>
      <c:layout/>
      <c:barChart>
        <c:barDir val="bar"/>
        <c:grouping val="stacked"/>
        <c:varyColors val="0"/>
        <c:ser>
          <c:idx val="0"/>
          <c:order val="0"/>
          <c:tx>
            <c:strRef>
              <c:f>Graphs!$A$261</c:f>
              <c:strCache>
                <c:ptCount val="1"/>
                <c:pt idx="0">
                  <c:v>Low</c:v>
                </c:pt>
              </c:strCache>
            </c:strRef>
          </c:tx>
          <c:spPr>
            <a:noFill/>
            <a:ln w="1260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Graphs!$B$260:$K$260</c:f>
              <c:strCache>
                <c:ptCount val="10"/>
                <c:pt idx="1">
                  <c:v>Current price  $230.48</c:v>
                </c:pt>
                <c:pt idx="2">
                  <c:v>DCF Gordon base  $307</c:v>
                </c:pt>
                <c:pt idx="3">
                  <c:v>Model target  $315  (20x FY28E EPS)</c:v>
                </c:pt>
                <c:pt idx="4">
                  <c:v>Street TP mean  $316</c:v>
                </c:pt>
                <c:pt idx="5">
                  <c:v>Fair-value band (street IQR)  $300–$335</c:v>
                </c:pt>
                <c:pt idx="6">
                  <c:v>Street TP tape  $275–$365</c:v>
                </c:pt>
                <c:pt idx="7">
                  <c:v>Comps asset/sales family  $128–$293</c:v>
                </c:pt>
                <c:pt idx="8">
                  <c:v>Comps P/E family  $538–$838</c:v>
                </c:pt>
                <c:pt idx="9">
                  <c:v>DCF family  $202–$420</c:v>
                </c:pt>
              </c:strCache>
            </c:strRef>
          </c:cat>
          <c:val>
            <c:numRef>
              <c:f>Graphs!$B$261:$K$261</c:f>
              <c:numCache>
                <c:formatCode>\$#,##0</c:formatCode>
                <c:ptCount val="10"/>
                <c:pt idx="0">
                  <c:v>0</c:v>
                </c:pt>
                <c:pt idx="1">
                  <c:v>222.48</c:v>
                </c:pt>
                <c:pt idx="2">
                  <c:v>299.12299279094611</c:v>
                </c:pt>
                <c:pt idx="3">
                  <c:v>307</c:v>
                </c:pt>
                <c:pt idx="4">
                  <c:v>308.46666666666664</c:v>
                </c:pt>
                <c:pt idx="5">
                  <c:v>300</c:v>
                </c:pt>
                <c:pt idx="6">
                  <c:v>275</c:v>
                </c:pt>
                <c:pt idx="7">
                  <c:v>127.7950095385536</c:v>
                </c:pt>
                <c:pt idx="8">
                  <c:v>538.46259265495098</c:v>
                </c:pt>
                <c:pt idx="9">
                  <c:v>202.05485224764851</c:v>
                </c:pt>
              </c:numCache>
            </c:numRef>
          </c:val>
          <c:extLst>
            <c:ext xmlns:c16="http://schemas.microsoft.com/office/drawing/2014/chart" uri="{C3380CC4-5D6E-409C-BE32-E72D297353CC}">
              <c16:uniqueId val="{00000000-C554-0C4B-9D0F-2FD5C6214E99}"/>
            </c:ext>
          </c:extLst>
        </c:ser>
        <c:ser>
          <c:idx val="1"/>
          <c:order val="1"/>
          <c:tx>
            <c:strRef>
              <c:f>Graphs!$A$262</c:f>
              <c:strCache>
                <c:ptCount val="1"/>
                <c:pt idx="0">
                  <c:v>Span</c:v>
                </c:pt>
              </c:strCache>
            </c:strRef>
          </c:tx>
          <c:spPr>
            <a:solidFill>
              <a:srgbClr val="051C2C"/>
            </a:solidFill>
            <a:ln w="12600">
              <a:noFill/>
            </a:ln>
          </c:spPr>
          <c:invertIfNegative val="0"/>
          <c:dPt>
            <c:idx val="0"/>
            <c:invertIfNegative val="0"/>
            <c:bubble3D val="0"/>
            <c:spPr>
              <a:noFill/>
              <a:ln w="0">
                <a:noFill/>
              </a:ln>
            </c:spPr>
            <c:extLst>
              <c:ext xmlns:c16="http://schemas.microsoft.com/office/drawing/2014/chart" uri="{C3380CC4-5D6E-409C-BE32-E72D297353CC}">
                <c16:uniqueId val="{00000002-C554-0C4B-9D0F-2FD5C6214E99}"/>
              </c:ext>
            </c:extLst>
          </c:dPt>
          <c:dPt>
            <c:idx val="1"/>
            <c:invertIfNegative val="0"/>
            <c:bubble3D val="0"/>
            <c:spPr>
              <a:solidFill>
                <a:srgbClr val="000000"/>
              </a:solidFill>
              <a:ln w="0">
                <a:noFill/>
              </a:ln>
            </c:spPr>
            <c:extLst>
              <c:ext xmlns:c16="http://schemas.microsoft.com/office/drawing/2014/chart" uri="{C3380CC4-5D6E-409C-BE32-E72D297353CC}">
                <c16:uniqueId val="{00000004-C554-0C4B-9D0F-2FD5C6214E99}"/>
              </c:ext>
            </c:extLst>
          </c:dPt>
          <c:dPt>
            <c:idx val="2"/>
            <c:invertIfNegative val="0"/>
            <c:bubble3D val="0"/>
            <c:spPr>
              <a:solidFill>
                <a:srgbClr val="24435A"/>
              </a:solidFill>
              <a:ln w="0">
                <a:noFill/>
              </a:ln>
            </c:spPr>
            <c:extLst>
              <c:ext xmlns:c16="http://schemas.microsoft.com/office/drawing/2014/chart" uri="{C3380CC4-5D6E-409C-BE32-E72D297353CC}">
                <c16:uniqueId val="{00000006-C554-0C4B-9D0F-2FD5C6214E99}"/>
              </c:ext>
            </c:extLst>
          </c:dPt>
          <c:dPt>
            <c:idx val="3"/>
            <c:invertIfNegative val="0"/>
            <c:bubble3D val="0"/>
            <c:spPr>
              <a:solidFill>
                <a:srgbClr val="051C2C"/>
              </a:solidFill>
              <a:ln w="0">
                <a:noFill/>
              </a:ln>
            </c:spPr>
            <c:extLst>
              <c:ext xmlns:c16="http://schemas.microsoft.com/office/drawing/2014/chart" uri="{C3380CC4-5D6E-409C-BE32-E72D297353CC}">
                <c16:uniqueId val="{00000008-C554-0C4B-9D0F-2FD5C6214E99}"/>
              </c:ext>
            </c:extLst>
          </c:dPt>
          <c:dPt>
            <c:idx val="4"/>
            <c:invertIfNegative val="0"/>
            <c:bubble3D val="0"/>
            <c:spPr>
              <a:solidFill>
                <a:srgbClr val="00A9F4"/>
              </a:solidFill>
              <a:ln w="0">
                <a:noFill/>
              </a:ln>
            </c:spPr>
            <c:extLst>
              <c:ext xmlns:c16="http://schemas.microsoft.com/office/drawing/2014/chart" uri="{C3380CC4-5D6E-409C-BE32-E72D297353CC}">
                <c16:uniqueId val="{0000000A-C554-0C4B-9D0F-2FD5C6214E99}"/>
              </c:ext>
            </c:extLst>
          </c:dPt>
          <c:dPt>
            <c:idx val="5"/>
            <c:invertIfNegative val="0"/>
            <c:bubble3D val="0"/>
            <c:spPr>
              <a:solidFill>
                <a:srgbClr val="006BA6"/>
              </a:solidFill>
              <a:ln w="0">
                <a:noFill/>
              </a:ln>
            </c:spPr>
            <c:extLst>
              <c:ext xmlns:c16="http://schemas.microsoft.com/office/drawing/2014/chart" uri="{C3380CC4-5D6E-409C-BE32-E72D297353CC}">
                <c16:uniqueId val="{0000000C-C554-0C4B-9D0F-2FD5C6214E99}"/>
              </c:ext>
            </c:extLst>
          </c:dPt>
          <c:dPt>
            <c:idx val="6"/>
            <c:invertIfNegative val="0"/>
            <c:bubble3D val="0"/>
            <c:spPr>
              <a:solidFill>
                <a:srgbClr val="B8C4CC"/>
              </a:solidFill>
              <a:ln w="0">
                <a:noFill/>
              </a:ln>
            </c:spPr>
            <c:extLst>
              <c:ext xmlns:c16="http://schemas.microsoft.com/office/drawing/2014/chart" uri="{C3380CC4-5D6E-409C-BE32-E72D297353CC}">
                <c16:uniqueId val="{0000000E-C554-0C4B-9D0F-2FD5C6214E99}"/>
              </c:ext>
            </c:extLst>
          </c:dPt>
          <c:dPt>
            <c:idx val="7"/>
            <c:invertIfNegative val="0"/>
            <c:bubble3D val="0"/>
            <c:spPr>
              <a:solidFill>
                <a:srgbClr val="B8C4CC"/>
              </a:solidFill>
              <a:ln w="0">
                <a:noFill/>
              </a:ln>
            </c:spPr>
            <c:extLst>
              <c:ext xmlns:c16="http://schemas.microsoft.com/office/drawing/2014/chart" uri="{C3380CC4-5D6E-409C-BE32-E72D297353CC}">
                <c16:uniqueId val="{00000010-C554-0C4B-9D0F-2FD5C6214E99}"/>
              </c:ext>
            </c:extLst>
          </c:dPt>
          <c:dPt>
            <c:idx val="8"/>
            <c:invertIfNegative val="0"/>
            <c:bubble3D val="0"/>
            <c:spPr>
              <a:solidFill>
                <a:srgbClr val="B8C4CC"/>
              </a:solidFill>
              <a:ln w="0">
                <a:noFill/>
              </a:ln>
            </c:spPr>
            <c:extLst>
              <c:ext xmlns:c16="http://schemas.microsoft.com/office/drawing/2014/chart" uri="{C3380CC4-5D6E-409C-BE32-E72D297353CC}">
                <c16:uniqueId val="{00000012-C554-0C4B-9D0F-2FD5C6214E99}"/>
              </c:ext>
            </c:extLst>
          </c:dPt>
          <c:dPt>
            <c:idx val="9"/>
            <c:invertIfNegative val="0"/>
            <c:bubble3D val="0"/>
            <c:spPr>
              <a:solidFill>
                <a:srgbClr val="051C2C"/>
              </a:solidFill>
              <a:ln w="0">
                <a:noFill/>
              </a:ln>
            </c:spPr>
            <c:extLst>
              <c:ext xmlns:c16="http://schemas.microsoft.com/office/drawing/2014/chart" uri="{C3380CC4-5D6E-409C-BE32-E72D297353CC}">
                <c16:uniqueId val="{00000014-C554-0C4B-9D0F-2FD5C6214E99}"/>
              </c:ext>
            </c:extLst>
          </c:dPt>
          <c:dLbls>
            <c:dLbl>
              <c:idx val="0"/>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02-C554-0C4B-9D0F-2FD5C6214E99}"/>
                </c:ext>
              </c:extLst>
            </c:dLbl>
            <c:dLbl>
              <c:idx val="1"/>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04-C554-0C4B-9D0F-2FD5C6214E99}"/>
                </c:ext>
              </c:extLst>
            </c:dLbl>
            <c:dLbl>
              <c:idx val="2"/>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06-C554-0C4B-9D0F-2FD5C6214E99}"/>
                </c:ext>
              </c:extLst>
            </c:dLbl>
            <c:dLbl>
              <c:idx val="3"/>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08-C554-0C4B-9D0F-2FD5C6214E99}"/>
                </c:ext>
              </c:extLst>
            </c:dLbl>
            <c:dLbl>
              <c:idx val="4"/>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0A-C554-0C4B-9D0F-2FD5C6214E99}"/>
                </c:ext>
              </c:extLst>
            </c:dLbl>
            <c:dLbl>
              <c:idx val="5"/>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0C-C554-0C4B-9D0F-2FD5C6214E99}"/>
                </c:ext>
              </c:extLst>
            </c:dLbl>
            <c:dLbl>
              <c:idx val="6"/>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0E-C554-0C4B-9D0F-2FD5C6214E99}"/>
                </c:ext>
              </c:extLst>
            </c:dLbl>
            <c:dLbl>
              <c:idx val="7"/>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10-C554-0C4B-9D0F-2FD5C6214E99}"/>
                </c:ext>
              </c:extLst>
            </c:dLbl>
            <c:dLbl>
              <c:idx val="8"/>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12-C554-0C4B-9D0F-2FD5C6214E99}"/>
                </c:ext>
              </c:extLst>
            </c:dLbl>
            <c:dLbl>
              <c:idx val="9"/>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extLst>
                <c:ext xmlns:c16="http://schemas.microsoft.com/office/drawing/2014/chart" uri="{C3380CC4-5D6E-409C-BE32-E72D297353CC}">
                  <c16:uniqueId val="{00000014-C554-0C4B-9D0F-2FD5C6214E99}"/>
                </c:ext>
              </c:extLst>
            </c:dLbl>
            <c:spPr>
              <a:noFill/>
              <a:ln>
                <a:noFill/>
              </a:ln>
              <a:effectLst/>
            </c:spPr>
            <c:txPr>
              <a:bodyPr wrap="square"/>
              <a:lstStyle/>
              <a:p>
                <a:pPr>
                  <a:defRPr sz="1000" b="0" u="none" strike="noStrike">
                    <a:solidFill>
                      <a:srgbClr val="000000"/>
                    </a:solidFill>
                    <a:uFillTx/>
                    <a:latin typeface="Calibri"/>
                  </a:defRPr>
                </a:pPr>
                <a:endParaRPr lang="zh-CN"/>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Graphs!$B$260:$K$260</c:f>
              <c:strCache>
                <c:ptCount val="10"/>
                <c:pt idx="1">
                  <c:v>Current price  $230.48</c:v>
                </c:pt>
                <c:pt idx="2">
                  <c:v>DCF Gordon base  $307</c:v>
                </c:pt>
                <c:pt idx="3">
                  <c:v>Model target  $315  (20x FY28E EPS)</c:v>
                </c:pt>
                <c:pt idx="4">
                  <c:v>Street TP mean  $316</c:v>
                </c:pt>
                <c:pt idx="5">
                  <c:v>Fair-value band (street IQR)  $300–$335</c:v>
                </c:pt>
                <c:pt idx="6">
                  <c:v>Street TP tape  $275–$365</c:v>
                </c:pt>
                <c:pt idx="7">
                  <c:v>Comps asset/sales family  $128–$293</c:v>
                </c:pt>
                <c:pt idx="8">
                  <c:v>Comps P/E family  $538–$838</c:v>
                </c:pt>
                <c:pt idx="9">
                  <c:v>DCF family  $202–$420</c:v>
                </c:pt>
              </c:strCache>
            </c:strRef>
          </c:cat>
          <c:val>
            <c:numRef>
              <c:f>Graphs!$B$262:$K$262</c:f>
              <c:numCache>
                <c:formatCode>\$#,##0</c:formatCode>
                <c:ptCount val="10"/>
                <c:pt idx="0">
                  <c:v>838.38839344262317</c:v>
                </c:pt>
                <c:pt idx="1">
                  <c:v>16</c:v>
                </c:pt>
                <c:pt idx="2">
                  <c:v>16</c:v>
                </c:pt>
                <c:pt idx="3">
                  <c:v>16</c:v>
                </c:pt>
                <c:pt idx="4">
                  <c:v>16</c:v>
                </c:pt>
                <c:pt idx="5">
                  <c:v>35</c:v>
                </c:pt>
                <c:pt idx="6">
                  <c:v>90</c:v>
                </c:pt>
                <c:pt idx="7">
                  <c:v>165.58882043073419</c:v>
                </c:pt>
                <c:pt idx="8">
                  <c:v>299.92580078767219</c:v>
                </c:pt>
                <c:pt idx="9">
                  <c:v>217.62977700347221</c:v>
                </c:pt>
              </c:numCache>
            </c:numRef>
          </c:val>
          <c:extLst>
            <c:ext xmlns:c16="http://schemas.microsoft.com/office/drawing/2014/chart" uri="{C3380CC4-5D6E-409C-BE32-E72D297353CC}">
              <c16:uniqueId val="{00000015-C554-0C4B-9D0F-2FD5C6214E99}"/>
            </c:ext>
          </c:extLst>
        </c:ser>
        <c:dLbls>
          <c:showLegendKey val="0"/>
          <c:showVal val="0"/>
          <c:showCatName val="0"/>
          <c:showSerName val="0"/>
          <c:showPercent val="0"/>
          <c:showBubbleSize val="0"/>
        </c:dLbls>
        <c:gapWidth val="50"/>
        <c:overlap val="100"/>
        <c:axId val="26395555"/>
        <c:axId val="40014283"/>
      </c:barChart>
      <c:catAx>
        <c:axId val="26395555"/>
        <c:scaling>
          <c:orientation val="minMax"/>
        </c:scaling>
        <c:delete val="0"/>
        <c:axPos val="l"/>
        <c:numFmt formatCode="General" sourceLinked="0"/>
        <c:majorTickMark val="none"/>
        <c:minorTickMark val="none"/>
        <c:tickLblPos val="nextTo"/>
        <c:spPr>
          <a:ln w="6480">
            <a:solidFill>
              <a:srgbClr val="CCCCCC"/>
            </a:solidFill>
            <a:round/>
          </a:ln>
        </c:spPr>
        <c:txPr>
          <a:bodyPr/>
          <a:lstStyle/>
          <a:p>
            <a:pPr>
              <a:defRPr sz="900" b="0" u="none" strike="noStrike">
                <a:solidFill>
                  <a:srgbClr val="666666"/>
                </a:solidFill>
                <a:uFillTx/>
                <a:latin typeface="Arial"/>
              </a:defRPr>
            </a:pPr>
            <a:endParaRPr lang="zh-CN"/>
          </a:p>
        </c:txPr>
        <c:crossAx val="40014283"/>
        <c:crosses val="autoZero"/>
        <c:auto val="1"/>
        <c:lblAlgn val="ctr"/>
        <c:lblOffset val="100"/>
        <c:noMultiLvlLbl val="0"/>
      </c:catAx>
      <c:valAx>
        <c:axId val="40014283"/>
        <c:scaling>
          <c:orientation val="minMax"/>
          <c:max val="900"/>
          <c:min val="0"/>
        </c:scaling>
        <c:delete val="0"/>
        <c:axPos val="b"/>
        <c:numFmt formatCode="\$#,##0" sourceLinked="0"/>
        <c:majorTickMark val="none"/>
        <c:minorTickMark val="none"/>
        <c:tickLblPos val="nextTo"/>
        <c:spPr>
          <a:ln w="6480">
            <a:solidFill>
              <a:srgbClr val="CCCCCC"/>
            </a:solidFill>
            <a:round/>
          </a:ln>
        </c:spPr>
        <c:txPr>
          <a:bodyPr/>
          <a:lstStyle/>
          <a:p>
            <a:pPr>
              <a:defRPr sz="800" b="0" u="none" strike="noStrike">
                <a:solidFill>
                  <a:srgbClr val="666666"/>
                </a:solidFill>
                <a:uFillTx/>
                <a:latin typeface="Arial"/>
              </a:defRPr>
            </a:pPr>
            <a:endParaRPr lang="zh-CN"/>
          </a:p>
        </c:txPr>
        <c:crossAx val="26395555"/>
        <c:crosses val="autoZero"/>
        <c:crossBetween val="between"/>
      </c:valAx>
      <c:spPr>
        <a:ln w="0">
          <a:noFill/>
        </a:ln>
      </c:spPr>
    </c:plotArea>
    <c:legend>
      <c:legendPos val="b"/>
      <c:legendEntry>
        <c:idx val="0"/>
        <c:delete val="1"/>
      </c:legendEntry>
      <c:legendEntry>
        <c:idx val="1"/>
        <c:delete val="1"/>
      </c:legendEntry>
      <c:overlay val="0"/>
      <c:spPr>
        <a:noFill/>
        <a:ln w="0">
          <a:noFill/>
        </a:ln>
      </c:spPr>
      <c:txPr>
        <a:bodyPr/>
        <a:lstStyle/>
        <a:p>
          <a:pPr>
            <a:defRPr sz="800" b="0" u="none" strike="noStrike">
              <a:solidFill>
                <a:srgbClr val="666666"/>
              </a:solidFill>
              <a:uFillTx/>
              <a:latin typeface="Arial"/>
            </a:defRPr>
          </a:pPr>
          <a:endParaRPr lang="zh-CN"/>
        </a:p>
      </c:txPr>
    </c:legend>
    <c:plotVisOnly val="1"/>
    <c:dispBlanksAs val="gap"/>
    <c:showDLblsOverMax val="1"/>
  </c:chart>
  <c:spPr>
    <a:ln w="9360">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image" Target="../media/image1.png"/><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33</xdr:row>
      <xdr:rowOff>170640</xdr:rowOff>
    </xdr:from>
    <xdr:to>
      <xdr:col>8</xdr:col>
      <xdr:colOff>249480</xdr:colOff>
      <xdr:row>50</xdr:row>
      <xdr:rowOff>113760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0</xdr:colOff>
      <xdr:row>34</xdr:row>
      <xdr:rowOff>0</xdr:rowOff>
    </xdr:from>
    <xdr:to>
      <xdr:col>18</xdr:col>
      <xdr:colOff>138240</xdr:colOff>
      <xdr:row>50</xdr:row>
      <xdr:rowOff>169200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58</xdr:row>
      <xdr:rowOff>171000</xdr:rowOff>
    </xdr:from>
    <xdr:to>
      <xdr:col>8</xdr:col>
      <xdr:colOff>300960</xdr:colOff>
      <xdr:row>75</xdr:row>
      <xdr:rowOff>33120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10</xdr:col>
      <xdr:colOff>0</xdr:colOff>
      <xdr:row>59</xdr:row>
      <xdr:rowOff>0</xdr:rowOff>
    </xdr:from>
    <xdr:to>
      <xdr:col>18</xdr:col>
      <xdr:colOff>138240</xdr:colOff>
      <xdr:row>75</xdr:row>
      <xdr:rowOff>110880</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113</xdr:row>
      <xdr:rowOff>0</xdr:rowOff>
    </xdr:from>
    <xdr:to>
      <xdr:col>8</xdr:col>
      <xdr:colOff>137880</xdr:colOff>
      <xdr:row>129</xdr:row>
      <xdr:rowOff>121320</xdr:rowOff>
    </xdr:to>
    <xdr:graphicFrame macro="">
      <xdr:nvGraphicFramePr>
        <xdr:cNvPr id="6" name="Chart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10</xdr:col>
      <xdr:colOff>0</xdr:colOff>
      <xdr:row>113</xdr:row>
      <xdr:rowOff>0</xdr:rowOff>
    </xdr:from>
    <xdr:to>
      <xdr:col>18</xdr:col>
      <xdr:colOff>138240</xdr:colOff>
      <xdr:row>129</xdr:row>
      <xdr:rowOff>121320</xdr:rowOff>
    </xdr:to>
    <xdr:graphicFrame macro="">
      <xdr:nvGraphicFramePr>
        <xdr:cNvPr id="7" name="Chart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0</xdr:colOff>
      <xdr:row>137</xdr:row>
      <xdr:rowOff>25560</xdr:rowOff>
    </xdr:from>
    <xdr:to>
      <xdr:col>8</xdr:col>
      <xdr:colOff>169200</xdr:colOff>
      <xdr:row>155</xdr:row>
      <xdr:rowOff>69840</xdr:rowOff>
    </xdr:to>
    <xdr:graphicFrame macro="">
      <xdr:nvGraphicFramePr>
        <xdr:cNvPr id="8" name="Chart 7">
          <a:extLst>
            <a:ext uri="{FF2B5EF4-FFF2-40B4-BE49-F238E27FC236}">
              <a16:creationId xmlns:a16="http://schemas.microsoft.com/office/drawing/2014/main"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0</xdr:col>
      <xdr:colOff>0</xdr:colOff>
      <xdr:row>162</xdr:row>
      <xdr:rowOff>0</xdr:rowOff>
    </xdr:from>
    <xdr:to>
      <xdr:col>5</xdr:col>
      <xdr:colOff>480240</xdr:colOff>
      <xdr:row>180</xdr:row>
      <xdr:rowOff>81000</xdr:rowOff>
    </xdr:to>
    <xdr:graphicFrame macro="">
      <xdr:nvGraphicFramePr>
        <xdr:cNvPr id="9" name="Chart 8">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0</xdr:colOff>
      <xdr:row>188</xdr:row>
      <xdr:rowOff>0</xdr:rowOff>
    </xdr:from>
    <xdr:to>
      <xdr:col>17</xdr:col>
      <xdr:colOff>131040</xdr:colOff>
      <xdr:row>207</xdr:row>
      <xdr:rowOff>94320</xdr:rowOff>
    </xdr:to>
    <xdr:graphicFrame macro="">
      <xdr:nvGraphicFramePr>
        <xdr:cNvPr id="10" name="Chart 9">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0</xdr:colOff>
      <xdr:row>82</xdr:row>
      <xdr:rowOff>162000</xdr:rowOff>
    </xdr:from>
    <xdr:to>
      <xdr:col>17</xdr:col>
      <xdr:colOff>572400</xdr:colOff>
      <xdr:row>112</xdr:row>
      <xdr:rowOff>103320</xdr:rowOff>
    </xdr:to>
    <xdr:pic>
      <xdr:nvPicPr>
        <xdr:cNvPr id="11" name="Picture 13">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0"/>
        <a:srcRect b="13027"/>
        <a:stretch/>
      </xdr:blipFill>
      <xdr:spPr>
        <a:xfrm>
          <a:off x="0" y="13954320"/>
          <a:ext cx="11492640" cy="5113440"/>
        </a:xfrm>
        <a:prstGeom prst="rect">
          <a:avLst/>
        </a:prstGeom>
        <a:noFill/>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2"/>
  <sheetViews>
    <sheetView showGridLines="0" zoomScale="179" zoomScaleNormal="179" workbookViewId="0">
      <pane ySplit="5" topLeftCell="A6" activePane="bottomLeft" state="frozen"/>
      <selection pane="bottomLeft" activeCell="B38" sqref="B38"/>
    </sheetView>
  </sheetViews>
  <sheetFormatPr baseColWidth="10" defaultColWidth="9.5" defaultRowHeight="14" x14ac:dyDescent="0.15"/>
  <cols>
    <col min="1" max="1" width="47.83203125" customWidth="1"/>
    <col min="2" max="12" width="15.1640625" customWidth="1"/>
  </cols>
  <sheetData>
    <row r="1" spans="1:12" ht="28.5" customHeight="1" x14ac:dyDescent="0.3">
      <c r="A1" s="51" t="s">
        <v>139</v>
      </c>
      <c r="B1" s="52"/>
      <c r="C1" s="52"/>
      <c r="D1" s="52"/>
      <c r="E1" s="52"/>
      <c r="F1" s="52"/>
      <c r="G1" s="52"/>
      <c r="H1" s="52"/>
      <c r="I1" s="52"/>
      <c r="J1" s="52"/>
      <c r="K1" s="52"/>
      <c r="L1" s="52"/>
    </row>
    <row r="2" spans="1:12" ht="15" customHeight="1" x14ac:dyDescent="0.15">
      <c r="A2" s="53" t="s">
        <v>140</v>
      </c>
      <c r="B2" s="52"/>
      <c r="C2" s="52"/>
      <c r="D2" s="52"/>
      <c r="E2" s="54" t="s">
        <v>141</v>
      </c>
      <c r="F2" s="52"/>
      <c r="G2" s="52"/>
      <c r="H2" s="52"/>
      <c r="I2" s="52"/>
      <c r="J2" s="52"/>
      <c r="K2" s="52"/>
      <c r="L2" s="52"/>
    </row>
    <row r="3" spans="1:12" ht="15" customHeight="1" x14ac:dyDescent="0.15">
      <c r="A3" s="54" t="s">
        <v>142</v>
      </c>
      <c r="B3" s="52"/>
      <c r="C3" s="52"/>
      <c r="D3" s="52"/>
      <c r="E3" s="52"/>
      <c r="F3" s="52"/>
      <c r="G3" s="52"/>
      <c r="H3" s="52"/>
      <c r="I3" s="52"/>
      <c r="J3" s="52"/>
      <c r="K3" s="52"/>
      <c r="L3" s="52"/>
    </row>
    <row r="4" spans="1:12" ht="15" customHeight="1" x14ac:dyDescent="0.15">
      <c r="A4" s="54" t="s">
        <v>143</v>
      </c>
      <c r="B4" s="52"/>
      <c r="C4" s="52"/>
      <c r="D4" s="52"/>
      <c r="E4" s="52"/>
      <c r="F4" s="52"/>
      <c r="G4" s="52"/>
      <c r="H4" s="52"/>
      <c r="I4" s="52"/>
      <c r="J4" s="52"/>
      <c r="K4" s="52"/>
      <c r="L4" s="52"/>
    </row>
    <row r="5" spans="1:12" ht="15" customHeight="1" x14ac:dyDescent="0.15">
      <c r="A5" s="55" t="s">
        <v>144</v>
      </c>
    </row>
    <row r="7" spans="1:12" ht="15" customHeight="1" x14ac:dyDescent="0.15">
      <c r="A7" s="56" t="s">
        <v>145</v>
      </c>
      <c r="B7" s="57" t="s">
        <v>146</v>
      </c>
    </row>
    <row r="8" spans="1:12" ht="15" customHeight="1" x14ac:dyDescent="0.15">
      <c r="A8" s="56" t="s">
        <v>147</v>
      </c>
      <c r="B8" s="57" t="s">
        <v>148</v>
      </c>
    </row>
    <row r="9" spans="1:12" ht="15" customHeight="1" x14ac:dyDescent="0.15">
      <c r="A9" s="56" t="s">
        <v>149</v>
      </c>
      <c r="B9" s="57" t="s">
        <v>150</v>
      </c>
    </row>
    <row r="10" spans="1:12" ht="15" customHeight="1" x14ac:dyDescent="0.15">
      <c r="A10" s="56" t="s">
        <v>151</v>
      </c>
      <c r="B10" s="57" t="s">
        <v>152</v>
      </c>
    </row>
    <row r="11" spans="1:12" ht="15" customHeight="1" x14ac:dyDescent="0.15">
      <c r="A11" s="56" t="s">
        <v>153</v>
      </c>
      <c r="B11" s="57" t="s">
        <v>154</v>
      </c>
    </row>
    <row r="12" spans="1:12" ht="15" customHeight="1" x14ac:dyDescent="0.15">
      <c r="A12" s="56" t="s">
        <v>155</v>
      </c>
      <c r="B12" s="57" t="s">
        <v>156</v>
      </c>
    </row>
    <row r="13" spans="1:12" ht="15" customHeight="1" x14ac:dyDescent="0.15">
      <c r="A13" s="56" t="s">
        <v>157</v>
      </c>
      <c r="B13" s="57" t="s">
        <v>158</v>
      </c>
    </row>
    <row r="14" spans="1:12" ht="15" customHeight="1" x14ac:dyDescent="0.15">
      <c r="A14" s="56" t="s">
        <v>159</v>
      </c>
      <c r="B14" s="57" t="s">
        <v>160</v>
      </c>
    </row>
    <row r="15" spans="1:12" ht="15" customHeight="1" x14ac:dyDescent="0.15">
      <c r="A15" s="56" t="s">
        <v>161</v>
      </c>
      <c r="B15" s="56" t="str">
        <f>IF(AND(SUMPRODUCT(--(Checks!AC7:AC19&lt;&gt;"PASS"))=0,SUMPRODUCT(--(Checks!B21:B25&lt;&gt;"PASS"))=0,SUMPRODUCT(--(Checks!AC27:AC31&lt;&gt;"PASS"))=0,SUMPRODUCT(--(Checks!AC33:AC35&lt;&gt;"PASS"))=0,COUNTIF(DCF!B107:B109,"PASS")=3,COUNTIF(Valuation!B54:B55,"PASS")=2),"ALL CHECKS PASS","REVIEW")</f>
        <v>ALL CHECKS PASS</v>
      </c>
      <c r="E15" s="58" t="s">
        <v>162</v>
      </c>
    </row>
    <row r="17" spans="1:12" ht="15" customHeight="1" x14ac:dyDescent="0.15">
      <c r="A17" s="59" t="s">
        <v>163</v>
      </c>
      <c r="B17" s="60"/>
      <c r="C17" s="60"/>
      <c r="D17" s="60"/>
      <c r="E17" s="60"/>
      <c r="F17" s="60"/>
      <c r="G17" s="60"/>
      <c r="H17" s="60"/>
      <c r="I17" s="60"/>
      <c r="J17" s="60"/>
      <c r="K17" s="60"/>
      <c r="L17" s="60"/>
    </row>
    <row r="18" spans="1:12" ht="15" customHeight="1" x14ac:dyDescent="0.15">
      <c r="A18" s="61" t="s">
        <v>164</v>
      </c>
      <c r="B18" s="62" t="s">
        <v>165</v>
      </c>
    </row>
    <row r="19" spans="1:12" ht="15" customHeight="1" x14ac:dyDescent="0.15">
      <c r="A19" s="61" t="s">
        <v>166</v>
      </c>
      <c r="B19" s="62" t="s">
        <v>167</v>
      </c>
    </row>
    <row r="20" spans="1:12" ht="15" customHeight="1" x14ac:dyDescent="0.15">
      <c r="A20" s="61" t="s">
        <v>168</v>
      </c>
      <c r="B20" s="62" t="s">
        <v>169</v>
      </c>
    </row>
    <row r="21" spans="1:12" ht="15" customHeight="1" x14ac:dyDescent="0.15">
      <c r="A21" s="61" t="s">
        <v>170</v>
      </c>
      <c r="B21" s="62" t="s">
        <v>171</v>
      </c>
    </row>
    <row r="22" spans="1:12" ht="15" customHeight="1" x14ac:dyDescent="0.15">
      <c r="A22" s="61" t="s">
        <v>172</v>
      </c>
      <c r="B22" s="62" t="s">
        <v>173</v>
      </c>
    </row>
    <row r="23" spans="1:12" ht="15" customHeight="1" x14ac:dyDescent="0.15">
      <c r="A23" s="61" t="s">
        <v>174</v>
      </c>
      <c r="B23" s="62" t="s">
        <v>175</v>
      </c>
    </row>
    <row r="24" spans="1:12" ht="15" customHeight="1" x14ac:dyDescent="0.15">
      <c r="A24" s="61" t="s">
        <v>176</v>
      </c>
      <c r="B24" s="62" t="s">
        <v>177</v>
      </c>
    </row>
    <row r="25" spans="1:12" ht="15" customHeight="1" x14ac:dyDescent="0.15">
      <c r="A25" s="61" t="s">
        <v>178</v>
      </c>
      <c r="B25" s="62" t="s">
        <v>179</v>
      </c>
    </row>
    <row r="26" spans="1:12" ht="15" customHeight="1" x14ac:dyDescent="0.15">
      <c r="A26" s="61" t="s">
        <v>180</v>
      </c>
      <c r="B26" s="62" t="s">
        <v>181</v>
      </c>
    </row>
    <row r="27" spans="1:12" ht="15" customHeight="1" x14ac:dyDescent="0.15">
      <c r="A27" s="61" t="s">
        <v>182</v>
      </c>
      <c r="B27" s="62" t="s">
        <v>183</v>
      </c>
    </row>
    <row r="28" spans="1:12" ht="15" customHeight="1" x14ac:dyDescent="0.15">
      <c r="A28" s="61" t="s">
        <v>184</v>
      </c>
      <c r="B28" s="62" t="s">
        <v>185</v>
      </c>
    </row>
    <row r="29" spans="1:12" ht="15" customHeight="1" x14ac:dyDescent="0.15">
      <c r="A29" s="61" t="s">
        <v>186</v>
      </c>
      <c r="B29" s="62" t="s">
        <v>187</v>
      </c>
    </row>
    <row r="30" spans="1:12" ht="15" customHeight="1" x14ac:dyDescent="0.15">
      <c r="A30" s="61" t="s">
        <v>188</v>
      </c>
      <c r="B30" s="62" t="s">
        <v>189</v>
      </c>
    </row>
    <row r="31" spans="1:12" ht="15" customHeight="1" x14ac:dyDescent="0.15">
      <c r="A31" s="61" t="s">
        <v>190</v>
      </c>
      <c r="B31" s="62" t="s">
        <v>191</v>
      </c>
    </row>
    <row r="32" spans="1:12" ht="15" customHeight="1" x14ac:dyDescent="0.15">
      <c r="A32" s="61" t="s">
        <v>192</v>
      </c>
      <c r="B32" s="62" t="s">
        <v>193</v>
      </c>
    </row>
    <row r="33" spans="1:12" ht="15" customHeight="1" x14ac:dyDescent="0.15">
      <c r="A33" s="59" t="s">
        <v>194</v>
      </c>
      <c r="B33" s="60"/>
      <c r="C33" s="60"/>
      <c r="D33" s="60"/>
      <c r="E33" s="60"/>
      <c r="F33" s="60"/>
      <c r="G33" s="60"/>
      <c r="H33" s="60"/>
      <c r="I33" s="60"/>
      <c r="J33" s="60"/>
      <c r="K33" s="60"/>
      <c r="L33" s="60"/>
    </row>
    <row r="34" spans="1:12" ht="15" customHeight="1" x14ac:dyDescent="0.15">
      <c r="A34" s="63" t="s">
        <v>195</v>
      </c>
    </row>
    <row r="35" spans="1:12" ht="15" customHeight="1" x14ac:dyDescent="0.15">
      <c r="A35" s="64" t="s">
        <v>196</v>
      </c>
    </row>
    <row r="36" spans="1:12" ht="15" customHeight="1" x14ac:dyDescent="0.15">
      <c r="A36" s="64"/>
    </row>
    <row r="37" spans="1:12" ht="15" customHeight="1" x14ac:dyDescent="0.15">
      <c r="A37" s="55" t="s">
        <v>197</v>
      </c>
    </row>
    <row r="38" spans="1:12" ht="15" customHeight="1" x14ac:dyDescent="0.15">
      <c r="A38" s="65" t="s">
        <v>198</v>
      </c>
    </row>
    <row r="39" spans="1:12" ht="15" customHeight="1" x14ac:dyDescent="0.15">
      <c r="A39" s="66" t="s">
        <v>199</v>
      </c>
    </row>
    <row r="40" spans="1:12" ht="15" customHeight="1" x14ac:dyDescent="0.15">
      <c r="A40" s="67" t="s">
        <v>200</v>
      </c>
    </row>
    <row r="41" spans="1:12" ht="15" customHeight="1" x14ac:dyDescent="0.15">
      <c r="A41" s="55" t="s">
        <v>201</v>
      </c>
    </row>
    <row r="42" spans="1:12" ht="15" customHeight="1" x14ac:dyDescent="0.15">
      <c r="A42" s="55" t="s">
        <v>202</v>
      </c>
    </row>
    <row r="43" spans="1:12" ht="15" customHeight="1" x14ac:dyDescent="0.15"/>
    <row r="44" spans="1:12" ht="15" customHeight="1" x14ac:dyDescent="0.15">
      <c r="A44" s="59" t="s">
        <v>203</v>
      </c>
      <c r="B44" s="60"/>
      <c r="C44" s="60"/>
      <c r="D44" s="60"/>
      <c r="E44" s="60"/>
      <c r="F44" s="60"/>
      <c r="G44" s="60"/>
      <c r="H44" s="60"/>
      <c r="I44" s="60"/>
      <c r="J44" s="60"/>
      <c r="K44" s="60"/>
      <c r="L44" s="60"/>
    </row>
    <row r="45" spans="1:12" ht="15" customHeight="1" x14ac:dyDescent="0.15">
      <c r="A45" s="62" t="s">
        <v>204</v>
      </c>
    </row>
    <row r="46" spans="1:12" ht="15" customHeight="1" x14ac:dyDescent="0.15">
      <c r="A46" s="62" t="s">
        <v>205</v>
      </c>
    </row>
    <row r="47" spans="1:12" ht="15" customHeight="1" x14ac:dyDescent="0.15">
      <c r="A47" s="62" t="s">
        <v>206</v>
      </c>
    </row>
    <row r="48" spans="1:12" ht="15" customHeight="1" x14ac:dyDescent="0.15">
      <c r="A48" s="62" t="s">
        <v>207</v>
      </c>
    </row>
    <row r="49" spans="1:1" ht="15" customHeight="1" x14ac:dyDescent="0.15">
      <c r="A49" s="62" t="s">
        <v>208</v>
      </c>
    </row>
    <row r="50" spans="1:1" ht="15" customHeight="1" x14ac:dyDescent="0.15">
      <c r="A50" s="62" t="s">
        <v>209</v>
      </c>
    </row>
    <row r="51" spans="1:1" ht="15" customHeight="1" x14ac:dyDescent="0.15">
      <c r="A51" s="62" t="s">
        <v>210</v>
      </c>
    </row>
    <row r="52" spans="1:1" ht="15" customHeight="1" x14ac:dyDescent="0.15">
      <c r="A52" s="62"/>
    </row>
  </sheetData>
  <phoneticPr fontId="61" type="noConversion"/>
  <pageMargins left="0.75" right="0.75" top="1" bottom="1" header="0.511811023622047" footer="0.511811023622047"/>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1C2C"/>
  </sheetPr>
  <dimension ref="A1:S291"/>
  <sheetViews>
    <sheetView showGridLines="0" tabSelected="1" topLeftCell="A25" zoomScale="107" zoomScaleNormal="107" workbookViewId="0">
      <selection activeCell="B272" sqref="B272"/>
    </sheetView>
  </sheetViews>
  <sheetFormatPr baseColWidth="10" defaultColWidth="8.6640625" defaultRowHeight="14" x14ac:dyDescent="0.15"/>
  <cols>
    <col min="10" max="10" width="2.33203125" customWidth="1"/>
  </cols>
  <sheetData>
    <row r="1" spans="1:19" ht="6" customHeight="1" x14ac:dyDescent="0.15">
      <c r="A1" s="15"/>
      <c r="B1" s="15"/>
      <c r="C1" s="15"/>
      <c r="D1" s="15"/>
      <c r="E1" s="15"/>
      <c r="F1" s="15"/>
      <c r="G1" s="15"/>
      <c r="H1" s="15"/>
      <c r="I1" s="15"/>
      <c r="J1" s="15"/>
      <c r="K1" s="15"/>
      <c r="L1" s="15"/>
      <c r="M1" s="15"/>
      <c r="N1" s="15"/>
      <c r="O1" s="15"/>
      <c r="P1" s="15"/>
      <c r="Q1" s="15"/>
      <c r="R1" s="15"/>
      <c r="S1" s="15"/>
    </row>
    <row r="2" spans="1:19" ht="15" customHeight="1" x14ac:dyDescent="0.15">
      <c r="A2" s="16" t="s">
        <v>0</v>
      </c>
      <c r="B2" s="15"/>
      <c r="C2" s="15"/>
      <c r="D2" s="15"/>
      <c r="E2" s="15"/>
      <c r="F2" s="15"/>
      <c r="G2" s="15"/>
      <c r="H2" s="15"/>
      <c r="I2" s="15"/>
      <c r="J2" s="15"/>
      <c r="K2" s="15"/>
      <c r="L2" s="15"/>
      <c r="M2" s="15"/>
      <c r="N2" s="15"/>
      <c r="O2" s="15"/>
      <c r="P2" s="15"/>
      <c r="Q2" s="15"/>
      <c r="R2" s="15"/>
      <c r="S2" s="15"/>
    </row>
    <row r="3" spans="1:19" ht="30" customHeight="1" x14ac:dyDescent="0.25">
      <c r="A3" s="14" t="str">
        <f>"A "&amp;TEXT(Valuation!B65,"0")&amp;"x multiple on FY2028E EPS of $"&amp;TEXT(IS!Z33,"0.00")&amp;" supports a $"&amp;TEXT(Valuation!B42,"0")&amp;" target — "&amp;TEXT(Valuation!B68,"+0%")&amp;" upside"</f>
        <v>A 20x multiple on FY2028E EPS of $15.86 supports a $315 target — +37% upside</v>
      </c>
      <c r="B3" s="14"/>
      <c r="C3" s="14"/>
      <c r="D3" s="14"/>
      <c r="E3" s="14"/>
      <c r="F3" s="14"/>
      <c r="G3" s="14"/>
      <c r="H3" s="14"/>
      <c r="I3" s="14"/>
      <c r="J3" s="14"/>
      <c r="K3" s="14"/>
      <c r="L3" s="14"/>
      <c r="M3" s="14"/>
      <c r="N3" s="14"/>
      <c r="O3" s="14"/>
      <c r="P3" s="14"/>
      <c r="Q3" s="14"/>
      <c r="R3" s="14"/>
      <c r="S3" s="14"/>
    </row>
    <row r="4" spans="1:19" ht="15" customHeight="1" x14ac:dyDescent="0.15">
      <c r="A4" s="13" t="str">
        <f>"Engine: DC compute units x ASP, networking attach +1.5pp a year; FY2028E FCF of $"&amp;TEXT((CF!Z16+CF!Z17)/1000,"0")&amp;"B funds the buyback path"</f>
        <v>Engine: DC compute units x ASP, networking attach +1.5pp a year; FY2028E FCF of $327B funds the buyback path</v>
      </c>
      <c r="B4" s="13"/>
      <c r="C4" s="13"/>
      <c r="D4" s="13"/>
      <c r="E4" s="13"/>
      <c r="F4" s="13"/>
      <c r="G4" s="13"/>
      <c r="H4" s="13"/>
      <c r="I4" s="13"/>
      <c r="J4" s="13"/>
      <c r="K4" s="13"/>
      <c r="L4" s="13"/>
      <c r="M4" s="13"/>
      <c r="N4" s="13"/>
      <c r="O4" s="13"/>
      <c r="P4" s="13"/>
      <c r="Q4" s="13"/>
      <c r="R4" s="13"/>
      <c r="S4" s="13"/>
    </row>
    <row r="5" spans="1:19" ht="12.75" customHeight="1" x14ac:dyDescent="0.15">
      <c r="A5" s="17" t="s">
        <v>1</v>
      </c>
      <c r="B5" s="15"/>
      <c r="C5" s="15"/>
      <c r="D5" s="15"/>
      <c r="E5" s="15"/>
      <c r="F5" s="15"/>
      <c r="G5" s="15"/>
      <c r="H5" s="15"/>
      <c r="I5" s="15"/>
      <c r="J5" s="15"/>
      <c r="K5" s="15"/>
      <c r="L5" s="15"/>
      <c r="M5" s="15"/>
      <c r="N5" s="15"/>
      <c r="O5" s="15"/>
      <c r="P5" s="15"/>
      <c r="Q5" s="15"/>
      <c r="R5" s="15"/>
      <c r="S5" s="15"/>
    </row>
    <row r="6" spans="1:19" ht="3" customHeight="1" x14ac:dyDescent="0.15">
      <c r="A6" s="18"/>
      <c r="B6" s="18"/>
      <c r="C6" s="18"/>
      <c r="D6" s="18"/>
      <c r="E6" s="18"/>
      <c r="F6" s="18"/>
      <c r="G6" s="18"/>
      <c r="H6" s="18"/>
      <c r="I6" s="18"/>
      <c r="J6" s="18"/>
      <c r="K6" s="18"/>
      <c r="L6" s="18"/>
      <c r="M6" s="18"/>
      <c r="N6" s="18"/>
      <c r="O6" s="18"/>
      <c r="P6" s="18"/>
      <c r="Q6" s="18"/>
      <c r="R6" s="18"/>
      <c r="S6" s="18"/>
    </row>
    <row r="7" spans="1:19" ht="6" customHeight="1" x14ac:dyDescent="0.15"/>
    <row r="8" spans="1:19" ht="6" customHeight="1" x14ac:dyDescent="0.15"/>
    <row r="9" spans="1:19" ht="15.75" customHeight="1" x14ac:dyDescent="0.15">
      <c r="A9" s="12" t="str">
        <f>TEXT(Raw_Data!I171,"$0.00")</f>
        <v>$230.48</v>
      </c>
      <c r="B9" s="12"/>
      <c r="C9" s="12"/>
      <c r="E9" s="12" t="str">
        <f>TEXT(Valuation!B42,"$0")</f>
        <v>$315</v>
      </c>
      <c r="F9" s="12"/>
      <c r="G9" s="12"/>
      <c r="I9" s="11" t="str">
        <f>TEXT(Valuation!B68,"+0.0%;-0.0%")</f>
        <v>+36.7%</v>
      </c>
      <c r="J9" s="11"/>
      <c r="K9" s="11"/>
      <c r="M9" s="12" t="str">
        <f>TEXT(IS!Z7/1000,"$0")&amp;"B"</f>
        <v>$691B</v>
      </c>
      <c r="N9" s="12"/>
      <c r="O9" s="12"/>
      <c r="Q9" s="12" t="str">
        <f>TEXT(DCF!B22,"0.00%")</f>
        <v>12.90%</v>
      </c>
      <c r="R9" s="12"/>
      <c r="S9" s="12"/>
    </row>
    <row r="10" spans="1:19" ht="15.75" customHeight="1" x14ac:dyDescent="0.15">
      <c r="A10" s="12"/>
      <c r="B10" s="12"/>
      <c r="C10" s="12"/>
      <c r="E10" s="12"/>
      <c r="F10" s="12"/>
      <c r="G10" s="12"/>
      <c r="I10" s="11"/>
      <c r="J10" s="11"/>
      <c r="K10" s="11"/>
      <c r="M10" s="12"/>
      <c r="N10" s="12"/>
      <c r="O10" s="12"/>
      <c r="Q10" s="12"/>
      <c r="R10" s="12"/>
      <c r="S10" s="12"/>
    </row>
    <row r="11" spans="1:19" ht="10.5" customHeight="1" x14ac:dyDescent="0.15">
      <c r="A11" s="10" t="s">
        <v>2</v>
      </c>
      <c r="B11" s="10"/>
      <c r="C11" s="10"/>
      <c r="E11" s="10" t="s">
        <v>3</v>
      </c>
      <c r="F11" s="10"/>
      <c r="G11" s="10"/>
      <c r="I11" s="10" t="s">
        <v>4</v>
      </c>
      <c r="J11" s="10"/>
      <c r="K11" s="10"/>
      <c r="M11" s="10" t="s">
        <v>5</v>
      </c>
      <c r="N11" s="10"/>
      <c r="O11" s="10"/>
      <c r="Q11" s="10" t="s">
        <v>6</v>
      </c>
      <c r="R11" s="10"/>
      <c r="S11" s="10"/>
    </row>
    <row r="12" spans="1:19" ht="12" customHeight="1" x14ac:dyDescent="0.15">
      <c r="A12" s="9" t="str">
        <f>"Target = "&amp;TEXT(Valuation!B65,"0")&amp;"x FY2028E EPS $"&amp;TEXT(IS!Z33,"0.00")&amp;", rounded to $5 · DCF is reference only · street TP mean $"&amp;TEXT(Valuation!B19,"0")&amp;" · beta "&amp;TEXT(DCF!B9,"0.00")&amp;", ERP "&amp;TEXT(DCF!B10,"0.0%")&amp;", Rf "&amp;TEXT(DCF!B8,"0.00%")</f>
        <v>Target = 20x FY2028E EPS $15.86, rounded to $5 · DCF is reference only · street TP mean $316 · beta 1.83, ERP 4.2%, Rf 5.22%</v>
      </c>
      <c r="B12" s="9"/>
      <c r="C12" s="9"/>
      <c r="D12" s="9"/>
      <c r="E12" s="9"/>
      <c r="F12" s="9"/>
      <c r="G12" s="9"/>
      <c r="H12" s="9"/>
      <c r="I12" s="9"/>
      <c r="J12" s="9"/>
      <c r="K12" s="9"/>
      <c r="L12" s="9"/>
      <c r="M12" s="9"/>
      <c r="N12" s="9"/>
      <c r="O12" s="9"/>
      <c r="P12" s="9"/>
      <c r="Q12" s="9"/>
      <c r="R12" s="9"/>
      <c r="S12" s="9"/>
    </row>
    <row r="13" spans="1:19" ht="3.75" customHeight="1" x14ac:dyDescent="0.15"/>
    <row r="14" spans="1:19" ht="7.5" customHeight="1" x14ac:dyDescent="0.15"/>
    <row r="16" spans="1:19" ht="13.5" customHeight="1" x14ac:dyDescent="0.15">
      <c r="A16" s="19" t="s">
        <v>7</v>
      </c>
    </row>
    <row r="17" spans="1:19" ht="15.75" customHeight="1" x14ac:dyDescent="0.2">
      <c r="A17" s="20" t="s">
        <v>8</v>
      </c>
      <c r="B17" s="20"/>
      <c r="C17" s="20"/>
      <c r="D17" s="20"/>
      <c r="E17" s="20"/>
      <c r="F17" s="20"/>
      <c r="G17" s="20"/>
      <c r="H17" s="20"/>
      <c r="I17" s="20"/>
      <c r="J17" s="20"/>
      <c r="K17" s="20"/>
      <c r="L17" s="20"/>
      <c r="M17" s="20"/>
      <c r="N17" s="20"/>
      <c r="O17" s="20"/>
      <c r="P17" s="20"/>
      <c r="Q17" s="20"/>
      <c r="R17" s="20"/>
      <c r="S17" s="20"/>
    </row>
    <row r="18" spans="1:19" ht="13.5" customHeight="1" x14ac:dyDescent="0.15">
      <c r="A18" s="8" t="s">
        <v>9</v>
      </c>
      <c r="B18" s="8"/>
      <c r="C18" s="8"/>
      <c r="D18" s="8"/>
      <c r="E18" s="8"/>
      <c r="F18" s="8"/>
      <c r="G18" s="8"/>
      <c r="H18" s="8"/>
      <c r="I18" s="8"/>
    </row>
    <row r="19" spans="1:19" ht="13.5" customHeight="1" x14ac:dyDescent="0.15">
      <c r="A19" s="21" t="s">
        <v>10</v>
      </c>
      <c r="H19" s="21" t="s">
        <v>11</v>
      </c>
      <c r="N19" s="21" t="s">
        <v>12</v>
      </c>
    </row>
    <row r="20" spans="1:19" ht="13.5" customHeight="1" x14ac:dyDescent="0.15">
      <c r="A20" s="7" t="s">
        <v>13</v>
      </c>
      <c r="B20" s="7"/>
      <c r="C20" s="7"/>
      <c r="D20" s="7"/>
      <c r="E20" s="7"/>
      <c r="F20" s="7"/>
      <c r="H20" s="6" t="s">
        <v>14</v>
      </c>
      <c r="I20" s="6"/>
      <c r="J20" s="6"/>
      <c r="K20" s="6"/>
      <c r="L20" s="6"/>
      <c r="N20" s="7" t="s">
        <v>15</v>
      </c>
      <c r="O20" s="7"/>
      <c r="P20" s="7"/>
      <c r="Q20" s="7"/>
      <c r="R20" s="7"/>
      <c r="S20" s="7"/>
    </row>
    <row r="21" spans="1:19" ht="13.5" customHeight="1" x14ac:dyDescent="0.15">
      <c r="A21" s="7"/>
      <c r="B21" s="7"/>
      <c r="C21" s="7"/>
      <c r="D21" s="7"/>
      <c r="E21" s="7"/>
      <c r="F21" s="7"/>
      <c r="H21" s="6"/>
      <c r="I21" s="6"/>
      <c r="J21" s="6"/>
      <c r="K21" s="6"/>
      <c r="L21" s="6"/>
      <c r="N21" s="7"/>
      <c r="O21" s="7"/>
      <c r="P21" s="7"/>
      <c r="Q21" s="7"/>
      <c r="R21" s="7"/>
      <c r="S21" s="7"/>
    </row>
    <row r="22" spans="1:19" ht="13.5" customHeight="1" x14ac:dyDescent="0.15">
      <c r="A22" s="7"/>
      <c r="B22" s="7"/>
      <c r="C22" s="7"/>
      <c r="D22" s="7"/>
      <c r="E22" s="7"/>
      <c r="F22" s="7"/>
      <c r="H22" s="6"/>
      <c r="I22" s="6"/>
      <c r="J22" s="6"/>
      <c r="K22" s="6"/>
      <c r="L22" s="6"/>
      <c r="N22" s="7"/>
      <c r="O22" s="7"/>
      <c r="P22" s="7"/>
      <c r="Q22" s="7"/>
      <c r="R22" s="7"/>
      <c r="S22" s="7"/>
    </row>
    <row r="23" spans="1:19" ht="13.5" customHeight="1" x14ac:dyDescent="0.15">
      <c r="A23" s="7"/>
      <c r="B23" s="7"/>
      <c r="C23" s="7"/>
      <c r="D23" s="7"/>
      <c r="E23" s="7"/>
      <c r="F23" s="7"/>
      <c r="H23" s="6"/>
      <c r="I23" s="6"/>
      <c r="J23" s="6"/>
      <c r="K23" s="6"/>
      <c r="L23" s="6"/>
      <c r="N23" s="7"/>
      <c r="O23" s="7"/>
      <c r="P23" s="7"/>
      <c r="Q23" s="7"/>
      <c r="R23" s="7"/>
      <c r="S23" s="7"/>
    </row>
    <row r="24" spans="1:19" ht="13.5" customHeight="1" x14ac:dyDescent="0.25">
      <c r="A24" s="7"/>
      <c r="B24" s="7"/>
      <c r="C24" s="7"/>
      <c r="D24" s="7"/>
      <c r="E24" s="7"/>
      <c r="F24" s="7"/>
      <c r="G24" s="22"/>
      <c r="H24" s="6"/>
      <c r="I24" s="6"/>
      <c r="J24" s="6"/>
      <c r="K24" s="6"/>
      <c r="L24" s="6"/>
      <c r="M24" s="22"/>
      <c r="N24" s="7"/>
      <c r="O24" s="7"/>
      <c r="P24" s="7"/>
      <c r="Q24" s="7"/>
      <c r="R24" s="7"/>
      <c r="S24" s="7"/>
    </row>
    <row r="25" spans="1:19" ht="13.5" customHeight="1" x14ac:dyDescent="0.15">
      <c r="A25" s="7"/>
      <c r="B25" s="7"/>
      <c r="C25" s="7"/>
      <c r="D25" s="7"/>
      <c r="E25" s="7"/>
      <c r="F25" s="7"/>
      <c r="H25" s="6"/>
      <c r="I25" s="6"/>
      <c r="J25" s="6"/>
      <c r="K25" s="6"/>
      <c r="L25" s="6"/>
      <c r="N25" s="7"/>
      <c r="O25" s="7"/>
      <c r="P25" s="7"/>
      <c r="Q25" s="7"/>
      <c r="R25" s="7"/>
      <c r="S25" s="7"/>
    </row>
    <row r="26" spans="1:19" ht="13.5" customHeight="1" x14ac:dyDescent="0.15">
      <c r="A26" s="7"/>
      <c r="B26" s="7"/>
      <c r="C26" s="7"/>
      <c r="D26" s="7"/>
      <c r="E26" s="7"/>
      <c r="F26" s="7"/>
      <c r="H26" s="6"/>
      <c r="I26" s="6"/>
      <c r="J26" s="6"/>
      <c r="K26" s="6"/>
      <c r="L26" s="6"/>
      <c r="N26" s="7"/>
      <c r="O26" s="7"/>
      <c r="P26" s="7"/>
      <c r="Q26" s="7"/>
      <c r="R26" s="7"/>
      <c r="S26" s="7"/>
    </row>
    <row r="27" spans="1:19" ht="13.5" customHeight="1" x14ac:dyDescent="0.15">
      <c r="A27" s="7"/>
      <c r="B27" s="7"/>
      <c r="C27" s="7"/>
      <c r="D27" s="7"/>
      <c r="E27" s="7"/>
      <c r="F27" s="7"/>
      <c r="H27" s="6"/>
      <c r="I27" s="6"/>
      <c r="J27" s="6"/>
      <c r="K27" s="6"/>
      <c r="L27" s="6"/>
      <c r="N27" s="7"/>
      <c r="O27" s="7"/>
      <c r="P27" s="7"/>
      <c r="Q27" s="7"/>
      <c r="R27" s="7"/>
      <c r="S27" s="7"/>
    </row>
    <row r="28" spans="1:19" ht="13.5" customHeight="1" x14ac:dyDescent="0.15">
      <c r="A28" s="7"/>
      <c r="B28" s="7"/>
      <c r="C28" s="7"/>
      <c r="D28" s="7"/>
      <c r="E28" s="7"/>
      <c r="F28" s="7"/>
      <c r="H28" s="6"/>
      <c r="I28" s="6"/>
      <c r="J28" s="6"/>
      <c r="K28" s="6"/>
      <c r="L28" s="6"/>
      <c r="N28" s="7"/>
      <c r="O28" s="7"/>
      <c r="P28" s="7"/>
      <c r="Q28" s="7"/>
      <c r="R28" s="7"/>
      <c r="S28" s="7"/>
    </row>
    <row r="29" spans="1:19" ht="13.5" customHeight="1" x14ac:dyDescent="0.15">
      <c r="A29" s="23" t="s">
        <v>16</v>
      </c>
    </row>
    <row r="32" spans="1:19" ht="13.5" customHeight="1" x14ac:dyDescent="0.15">
      <c r="A32" s="19" t="s">
        <v>17</v>
      </c>
      <c r="K32" s="19" t="s">
        <v>18</v>
      </c>
    </row>
    <row r="33" spans="1:19" ht="15.75" customHeight="1" x14ac:dyDescent="0.2">
      <c r="A33" s="5" t="s">
        <v>19</v>
      </c>
      <c r="B33" s="5"/>
      <c r="C33" s="5"/>
      <c r="D33" s="5"/>
      <c r="E33" s="5"/>
      <c r="F33" s="5"/>
      <c r="G33" s="5"/>
      <c r="H33" s="5"/>
      <c r="I33" s="5"/>
      <c r="K33" s="5" t="s">
        <v>20</v>
      </c>
      <c r="L33" s="5"/>
      <c r="M33" s="5"/>
      <c r="N33" s="5"/>
      <c r="O33" s="5"/>
      <c r="P33" s="5"/>
      <c r="Q33" s="5"/>
      <c r="R33" s="5"/>
      <c r="S33" s="5"/>
    </row>
    <row r="34" spans="1:19" ht="13.5" customHeight="1" x14ac:dyDescent="0.15">
      <c r="A34" s="8" t="s">
        <v>21</v>
      </c>
      <c r="B34" s="8"/>
      <c r="C34" s="8"/>
      <c r="D34" s="8"/>
      <c r="E34" s="8"/>
      <c r="F34" s="8"/>
      <c r="G34" s="8"/>
      <c r="H34" s="8"/>
      <c r="I34" s="8"/>
      <c r="K34" s="8" t="s">
        <v>22</v>
      </c>
      <c r="L34" s="8"/>
      <c r="M34" s="8"/>
      <c r="N34" s="8"/>
      <c r="O34" s="8"/>
      <c r="P34" s="8"/>
      <c r="Q34" s="8"/>
      <c r="R34" s="8"/>
      <c r="S34" s="8"/>
    </row>
    <row r="35" spans="1:19" ht="13.5" customHeight="1" x14ac:dyDescent="0.15"/>
    <row r="36" spans="1:19" ht="13.5" customHeight="1" x14ac:dyDescent="0.15"/>
    <row r="37" spans="1:19" ht="13.5" customHeight="1" x14ac:dyDescent="0.15"/>
    <row r="38" spans="1:19" ht="13.5" customHeight="1" x14ac:dyDescent="0.15"/>
    <row r="39" spans="1:19" ht="13.5" customHeight="1" x14ac:dyDescent="0.15"/>
    <row r="40" spans="1:19" ht="13.5" customHeight="1" x14ac:dyDescent="0.15"/>
    <row r="41" spans="1:19" ht="13.5" customHeight="1" x14ac:dyDescent="0.15"/>
    <row r="42" spans="1:19" ht="13.5" customHeight="1" x14ac:dyDescent="0.15"/>
    <row r="43" spans="1:19" ht="13.5" customHeight="1" x14ac:dyDescent="0.15"/>
    <row r="44" spans="1:19" ht="13.5" customHeight="1" x14ac:dyDescent="0.15"/>
    <row r="45" spans="1:19" ht="13.5" customHeight="1" x14ac:dyDescent="0.15"/>
    <row r="46" spans="1:19" ht="13.5" customHeight="1" x14ac:dyDescent="0.15"/>
    <row r="47" spans="1:19" ht="13.5" customHeight="1" x14ac:dyDescent="0.15"/>
    <row r="48" spans="1:19" ht="13.5" customHeight="1" x14ac:dyDescent="0.15"/>
    <row r="49" spans="1:19" ht="13.5" customHeight="1" x14ac:dyDescent="0.15"/>
    <row r="50" spans="1:19" ht="13.5" customHeight="1" x14ac:dyDescent="0.15"/>
    <row r="51" spans="1:19" ht="13.5" customHeight="1" x14ac:dyDescent="0.15"/>
    <row r="52" spans="1:19" ht="13.5" customHeight="1" x14ac:dyDescent="0.15"/>
    <row r="53" spans="1:19" ht="13.5" customHeight="1" x14ac:dyDescent="0.15"/>
    <row r="54" spans="1:19" ht="13.5" customHeight="1" x14ac:dyDescent="0.15">
      <c r="A54" s="23" t="s">
        <v>23</v>
      </c>
    </row>
    <row r="55" spans="1:19" ht="13.5" customHeight="1" x14ac:dyDescent="0.15">
      <c r="A55" s="24" t="s">
        <v>24</v>
      </c>
    </row>
    <row r="56" spans="1:19" ht="13.5" customHeight="1" x14ac:dyDescent="0.15"/>
    <row r="57" spans="1:19" ht="13.5" customHeight="1" x14ac:dyDescent="0.15">
      <c r="A57" s="19" t="s">
        <v>25</v>
      </c>
      <c r="K57" s="19" t="s">
        <v>26</v>
      </c>
    </row>
    <row r="58" spans="1:19" ht="15.75" customHeight="1" x14ac:dyDescent="0.2">
      <c r="A58" s="5" t="s">
        <v>27</v>
      </c>
      <c r="B58" s="5"/>
      <c r="C58" s="5"/>
      <c r="D58" s="5"/>
      <c r="E58" s="5"/>
      <c r="F58" s="5"/>
      <c r="G58" s="5"/>
      <c r="H58" s="5"/>
      <c r="I58" s="5"/>
      <c r="K58" s="5" t="s">
        <v>28</v>
      </c>
      <c r="L58" s="5"/>
      <c r="M58" s="5"/>
      <c r="N58" s="5"/>
      <c r="O58" s="5"/>
      <c r="P58" s="5"/>
      <c r="Q58" s="5"/>
      <c r="R58" s="5"/>
      <c r="S58" s="5"/>
    </row>
    <row r="59" spans="1:19" ht="13.5" customHeight="1" x14ac:dyDescent="0.15">
      <c r="A59" s="8" t="s">
        <v>29</v>
      </c>
      <c r="B59" s="8"/>
      <c r="C59" s="8"/>
      <c r="D59" s="8"/>
      <c r="E59" s="8"/>
      <c r="F59" s="8"/>
      <c r="G59" s="8"/>
      <c r="H59" s="8"/>
      <c r="I59" s="8"/>
      <c r="K59" s="8" t="s">
        <v>30</v>
      </c>
      <c r="L59" s="8"/>
      <c r="M59" s="8"/>
      <c r="N59" s="8"/>
      <c r="O59" s="8"/>
      <c r="P59" s="8"/>
      <c r="Q59" s="8"/>
      <c r="R59" s="8"/>
      <c r="S59" s="8"/>
    </row>
    <row r="60" spans="1:19" ht="13.5" customHeight="1" x14ac:dyDescent="0.15"/>
    <row r="61" spans="1:19" ht="13.5" customHeight="1" x14ac:dyDescent="0.15"/>
    <row r="62" spans="1:19" ht="13.5" customHeight="1" x14ac:dyDescent="0.15"/>
    <row r="63" spans="1:19" ht="13.5" customHeight="1" x14ac:dyDescent="0.15"/>
    <row r="64" spans="1:19" ht="13.5" customHeight="1" x14ac:dyDescent="0.15"/>
    <row r="65" spans="1:1" ht="13.5" customHeight="1" x14ac:dyDescent="0.15"/>
    <row r="66" spans="1:1" ht="13.5" customHeight="1" x14ac:dyDescent="0.15"/>
    <row r="67" spans="1:1" ht="13.5" customHeight="1" x14ac:dyDescent="0.15"/>
    <row r="68" spans="1:1" ht="13.5" customHeight="1" x14ac:dyDescent="0.15"/>
    <row r="69" spans="1:1" ht="13.5" customHeight="1" x14ac:dyDescent="0.15"/>
    <row r="70" spans="1:1" ht="13.5" customHeight="1" x14ac:dyDescent="0.15"/>
    <row r="71" spans="1:1" ht="13.5" customHeight="1" x14ac:dyDescent="0.15"/>
    <row r="72" spans="1:1" ht="13.5" customHeight="1" x14ac:dyDescent="0.15"/>
    <row r="73" spans="1:1" ht="13.5" customHeight="1" x14ac:dyDescent="0.15"/>
    <row r="74" spans="1:1" ht="13.5" customHeight="1" x14ac:dyDescent="0.15"/>
    <row r="75" spans="1:1" ht="13.5" customHeight="1" x14ac:dyDescent="0.15"/>
    <row r="76" spans="1:1" ht="13.5" customHeight="1" x14ac:dyDescent="0.15"/>
    <row r="77" spans="1:1" ht="13.5" customHeight="1" x14ac:dyDescent="0.15"/>
    <row r="78" spans="1:1" ht="13.5" customHeight="1" x14ac:dyDescent="0.15">
      <c r="A78" s="23" t="s">
        <v>31</v>
      </c>
    </row>
    <row r="79" spans="1:1" ht="13.5" customHeight="1" x14ac:dyDescent="0.15"/>
    <row r="80" spans="1:1" ht="13.5" customHeight="1" x14ac:dyDescent="0.15"/>
    <row r="81" spans="1:9" ht="13.5" customHeight="1" x14ac:dyDescent="0.15">
      <c r="A81" s="19" t="s">
        <v>32</v>
      </c>
    </row>
    <row r="82" spans="1:9" ht="15.75" customHeight="1" x14ac:dyDescent="0.2">
      <c r="A82" s="5" t="s">
        <v>33</v>
      </c>
      <c r="B82" s="5"/>
      <c r="C82" s="5"/>
      <c r="D82" s="5"/>
      <c r="E82" s="5"/>
      <c r="F82" s="5"/>
      <c r="G82" s="5"/>
      <c r="H82" s="5"/>
      <c r="I82" s="5"/>
    </row>
    <row r="83" spans="1:9" ht="13.5" customHeight="1" x14ac:dyDescent="0.15">
      <c r="A83" s="8" t="s">
        <v>34</v>
      </c>
      <c r="B83" s="8"/>
      <c r="C83" s="8"/>
      <c r="D83" s="8"/>
      <c r="E83" s="8"/>
      <c r="F83" s="8"/>
      <c r="G83" s="8"/>
      <c r="H83" s="8"/>
      <c r="I83" s="8"/>
    </row>
    <row r="108" spans="1:19" ht="13.5" customHeight="1" x14ac:dyDescent="0.15">
      <c r="A108" s="23" t="s">
        <v>35</v>
      </c>
    </row>
    <row r="109" spans="1:19" ht="13.5" customHeight="1" x14ac:dyDescent="0.15">
      <c r="A109" s="24" t="s">
        <v>36</v>
      </c>
    </row>
    <row r="111" spans="1:19" ht="13.5" customHeight="1" x14ac:dyDescent="0.15">
      <c r="A111" s="19" t="s">
        <v>37</v>
      </c>
      <c r="K111" s="19" t="s">
        <v>38</v>
      </c>
    </row>
    <row r="112" spans="1:19" ht="15.75" customHeight="1" x14ac:dyDescent="0.2">
      <c r="A112" s="5" t="s">
        <v>39</v>
      </c>
      <c r="B112" s="5"/>
      <c r="C112" s="5"/>
      <c r="D112" s="5"/>
      <c r="E112" s="5"/>
      <c r="F112" s="5"/>
      <c r="G112" s="5"/>
      <c r="H112" s="5"/>
      <c r="I112" s="5"/>
      <c r="K112" s="5" t="s">
        <v>40</v>
      </c>
      <c r="L112" s="5"/>
      <c r="M112" s="5"/>
      <c r="N112" s="5"/>
      <c r="O112" s="5"/>
      <c r="P112" s="5"/>
      <c r="Q112" s="5"/>
      <c r="R112" s="5"/>
      <c r="S112" s="5"/>
    </row>
    <row r="113" spans="1:19" ht="13.5" customHeight="1" x14ac:dyDescent="0.15">
      <c r="A113" s="8" t="s">
        <v>41</v>
      </c>
      <c r="B113" s="8"/>
      <c r="C113" s="8"/>
      <c r="D113" s="8"/>
      <c r="E113" s="8"/>
      <c r="F113" s="8"/>
      <c r="G113" s="8"/>
      <c r="H113" s="8"/>
      <c r="I113" s="8"/>
      <c r="K113" s="8" t="s">
        <v>42</v>
      </c>
      <c r="L113" s="8"/>
      <c r="M113" s="8"/>
      <c r="N113" s="8"/>
      <c r="O113" s="8"/>
      <c r="P113" s="8"/>
      <c r="Q113" s="8"/>
      <c r="R113" s="8"/>
      <c r="S113" s="8"/>
    </row>
    <row r="114" spans="1:19" ht="13.5" customHeight="1" x14ac:dyDescent="0.15"/>
    <row r="115" spans="1:19" ht="13.5" customHeight="1" x14ac:dyDescent="0.15"/>
    <row r="116" spans="1:19" ht="13.5" customHeight="1" x14ac:dyDescent="0.15"/>
    <row r="117" spans="1:19" ht="13.5" customHeight="1" x14ac:dyDescent="0.15"/>
    <row r="118" spans="1:19" ht="13.5" customHeight="1" x14ac:dyDescent="0.15"/>
    <row r="119" spans="1:19" ht="13.5" customHeight="1" x14ac:dyDescent="0.15"/>
    <row r="120" spans="1:19" ht="13.5" customHeight="1" x14ac:dyDescent="0.15"/>
    <row r="121" spans="1:19" ht="13.5" customHeight="1" x14ac:dyDescent="0.15"/>
    <row r="122" spans="1:19" ht="13.5" customHeight="1" x14ac:dyDescent="0.15"/>
    <row r="123" spans="1:19" ht="13.5" customHeight="1" x14ac:dyDescent="0.15"/>
    <row r="124" spans="1:19" ht="13.5" customHeight="1" x14ac:dyDescent="0.15"/>
    <row r="125" spans="1:19" ht="13.5" customHeight="1" x14ac:dyDescent="0.15"/>
    <row r="126" spans="1:19" ht="13.5" customHeight="1" x14ac:dyDescent="0.15"/>
    <row r="127" spans="1:19" ht="13.5" customHeight="1" x14ac:dyDescent="0.15"/>
    <row r="128" spans="1:19" ht="13.5" customHeight="1" x14ac:dyDescent="0.15"/>
    <row r="129" spans="1:19" ht="13.5" customHeight="1" x14ac:dyDescent="0.15"/>
    <row r="130" spans="1:19" ht="13.5" customHeight="1" x14ac:dyDescent="0.15"/>
    <row r="131" spans="1:19" ht="13.5" customHeight="1" x14ac:dyDescent="0.15"/>
    <row r="132" spans="1:19" ht="13.5" customHeight="1" x14ac:dyDescent="0.15">
      <c r="A132" s="23" t="s">
        <v>43</v>
      </c>
    </row>
    <row r="133" spans="1:19" ht="13.5" customHeight="1" x14ac:dyDescent="0.15"/>
    <row r="134" spans="1:19" ht="13.5" customHeight="1" x14ac:dyDescent="0.15"/>
    <row r="135" spans="1:19" ht="13.5" customHeight="1" x14ac:dyDescent="0.15">
      <c r="A135" s="19" t="s">
        <v>44</v>
      </c>
      <c r="K135" s="19" t="s">
        <v>45</v>
      </c>
    </row>
    <row r="136" spans="1:19" ht="15.75" customHeight="1" x14ac:dyDescent="0.2">
      <c r="A136" s="5" t="s">
        <v>46</v>
      </c>
      <c r="B136" s="5"/>
      <c r="C136" s="5"/>
      <c r="D136" s="5"/>
      <c r="E136" s="5"/>
      <c r="F136" s="5"/>
      <c r="G136" s="5"/>
      <c r="H136" s="5"/>
      <c r="I136" s="5"/>
      <c r="K136" s="5" t="s">
        <v>47</v>
      </c>
      <c r="L136" s="5"/>
      <c r="M136" s="5"/>
      <c r="N136" s="5"/>
      <c r="O136" s="5"/>
      <c r="P136" s="5"/>
      <c r="Q136" s="5"/>
      <c r="R136" s="5"/>
      <c r="S136" s="5"/>
    </row>
    <row r="137" spans="1:19" ht="13.5" customHeight="1" x14ac:dyDescent="0.15">
      <c r="A137" s="8" t="s">
        <v>48</v>
      </c>
      <c r="B137" s="8"/>
      <c r="C137" s="8"/>
      <c r="D137" s="8"/>
      <c r="E137" s="8"/>
      <c r="F137" s="8"/>
      <c r="G137" s="8"/>
      <c r="H137" s="8"/>
      <c r="I137" s="8"/>
      <c r="K137" s="8" t="s">
        <v>49</v>
      </c>
      <c r="L137" s="8"/>
      <c r="M137" s="8"/>
      <c r="N137" s="8"/>
      <c r="O137" s="8"/>
      <c r="P137" s="8"/>
      <c r="Q137" s="8"/>
      <c r="R137" s="8"/>
      <c r="S137" s="8"/>
    </row>
    <row r="138" spans="1:19" ht="13.5" customHeight="1" x14ac:dyDescent="0.15">
      <c r="K138" s="25" t="s">
        <v>50</v>
      </c>
    </row>
    <row r="139" spans="1:19" ht="13.5" customHeight="1" x14ac:dyDescent="0.15">
      <c r="K139" s="26" t="s">
        <v>51</v>
      </c>
      <c r="L139" s="27">
        <f>DCF!C89</f>
        <v>0.02</v>
      </c>
      <c r="M139" s="4">
        <f>DCF!D89</f>
        <v>2.5000000000000001E-2</v>
      </c>
      <c r="N139" s="4"/>
      <c r="O139" s="4">
        <f>DCF!E89</f>
        <v>0.03</v>
      </c>
      <c r="P139" s="4"/>
      <c r="Q139" s="4">
        <f>DCF!F89</f>
        <v>3.5000000000000003E-2</v>
      </c>
      <c r="R139" s="4"/>
      <c r="S139" s="27">
        <f>DCF!G89</f>
        <v>0.04</v>
      </c>
    </row>
    <row r="140" spans="1:19" ht="18" customHeight="1" x14ac:dyDescent="0.15">
      <c r="K140" s="27">
        <f>DCF!B90</f>
        <v>0.115</v>
      </c>
      <c r="L140" s="28">
        <f>DCF!C90</f>
        <v>340.43328875004966</v>
      </c>
      <c r="M140" s="3">
        <f>DCF!D90</f>
        <v>350.96474631162937</v>
      </c>
      <c r="N140" s="3"/>
      <c r="O140" s="3">
        <f>DCF!E90</f>
        <v>362.73519888045388</v>
      </c>
      <c r="P140" s="3"/>
      <c r="Q140" s="3">
        <f>DCF!F90</f>
        <v>375.97695802038146</v>
      </c>
      <c r="R140" s="3"/>
      <c r="S140" s="28">
        <f>DCF!G90</f>
        <v>390.98428504563265</v>
      </c>
    </row>
    <row r="141" spans="1:19" ht="18" customHeight="1" x14ac:dyDescent="0.15">
      <c r="K141" s="27">
        <f>DCF!B91</f>
        <v>0.12</v>
      </c>
      <c r="L141" s="29">
        <f>DCF!C91</f>
        <v>321.52873607695489</v>
      </c>
      <c r="M141" s="2">
        <f>DCF!D91</f>
        <v>330.66126868266866</v>
      </c>
      <c r="N141" s="2"/>
      <c r="O141" s="2">
        <f>DCF!E91</f>
        <v>340.80852713346195</v>
      </c>
      <c r="P141" s="2"/>
      <c r="Q141" s="2">
        <f>DCF!F91</f>
        <v>352.14958069611316</v>
      </c>
      <c r="R141" s="2"/>
      <c r="S141" s="29">
        <f>DCF!G91</f>
        <v>364.90826595409578</v>
      </c>
    </row>
    <row r="142" spans="1:19" ht="18" customHeight="1" x14ac:dyDescent="0.15">
      <c r="K142" s="27">
        <f>DCF!B92</f>
        <v>0.125</v>
      </c>
      <c r="L142" s="29">
        <f>DCF!C92</f>
        <v>304.48849438209885</v>
      </c>
      <c r="M142" s="1">
        <f>DCF!D92</f>
        <v>312.45114517529225</v>
      </c>
      <c r="N142" s="1"/>
      <c r="O142" s="1">
        <f>DCF!E92</f>
        <v>321.25196973619023</v>
      </c>
      <c r="P142" s="1"/>
      <c r="Q142" s="1">
        <f>DCF!F92</f>
        <v>331.03066369274353</v>
      </c>
      <c r="R142" s="1"/>
      <c r="S142" s="29">
        <f>DCF!G92</f>
        <v>341.9597922324208</v>
      </c>
    </row>
    <row r="143" spans="1:19" ht="18" customHeight="1" x14ac:dyDescent="0.15">
      <c r="K143" s="27">
        <f>DCF!B93</f>
        <v>0.13</v>
      </c>
      <c r="L143" s="29">
        <f>DCF!C93</f>
        <v>289.05571641276771</v>
      </c>
      <c r="M143" s="1">
        <f>DCF!D93</f>
        <v>296.03271076812155</v>
      </c>
      <c r="N143" s="1"/>
      <c r="O143" s="339">
        <f>DCF!E93</f>
        <v>303.70740455901091</v>
      </c>
      <c r="P143" s="339"/>
      <c r="Q143" s="1">
        <f>DCF!F93</f>
        <v>312.18996085420434</v>
      </c>
      <c r="R143" s="1"/>
      <c r="S143" s="29">
        <f>DCF!G93</f>
        <v>321.61502340441922</v>
      </c>
    </row>
    <row r="144" spans="1:19" ht="18" customHeight="1" x14ac:dyDescent="0.15">
      <c r="K144" s="27">
        <f>DCF!B94</f>
        <v>0.13500000000000001</v>
      </c>
      <c r="L144" s="29">
        <f>DCF!C94</f>
        <v>275.018358315603</v>
      </c>
      <c r="M144" s="1">
        <f>DCF!D94</f>
        <v>281.15928401344667</v>
      </c>
      <c r="N144" s="1"/>
      <c r="O144" s="1">
        <f>DCF!E94</f>
        <v>287.88505977775174</v>
      </c>
      <c r="P144" s="1"/>
      <c r="Q144" s="1">
        <f>DCF!F94</f>
        <v>295.28341311848715</v>
      </c>
      <c r="R144" s="1"/>
      <c r="S144" s="29">
        <f>DCF!G94</f>
        <v>303.4605404950895</v>
      </c>
    </row>
    <row r="145" spans="1:19" ht="18" customHeight="1" x14ac:dyDescent="0.15">
      <c r="K145" s="27">
        <f>DCF!B95</f>
        <v>0.14000000000000001</v>
      </c>
      <c r="L145" s="29">
        <f>DCF!C95</f>
        <v>262.19983777192886</v>
      </c>
      <c r="M145" s="2">
        <f>DCF!D95</f>
        <v>267.6272061340228</v>
      </c>
      <c r="N145" s="2"/>
      <c r="O145" s="2">
        <f>DCF!E95</f>
        <v>273.54797161994361</v>
      </c>
      <c r="P145" s="2"/>
      <c r="Q145" s="2">
        <f>DCF!F95</f>
        <v>280.03261953309487</v>
      </c>
      <c r="R145" s="2"/>
      <c r="S145" s="29">
        <f>DCF!G95</f>
        <v>287.16573223756131</v>
      </c>
    </row>
    <row r="147" spans="1:19" ht="13.5" customHeight="1" x14ac:dyDescent="0.15">
      <c r="K147" s="25" t="s">
        <v>52</v>
      </c>
    </row>
    <row r="148" spans="1:19" ht="13.5" customHeight="1" x14ac:dyDescent="0.15">
      <c r="K148" s="26" t="s">
        <v>53</v>
      </c>
      <c r="L148" s="30">
        <f>DCF!D98</f>
        <v>10</v>
      </c>
      <c r="M148" s="340">
        <f>DCF!E98</f>
        <v>12</v>
      </c>
      <c r="N148" s="340"/>
      <c r="O148" s="340">
        <f>DCF!F98</f>
        <v>14</v>
      </c>
      <c r="P148" s="340"/>
      <c r="Q148" s="340">
        <f>DCF!G98</f>
        <v>16</v>
      </c>
      <c r="R148" s="340"/>
      <c r="S148" s="30">
        <f>DCF!H98</f>
        <v>18</v>
      </c>
    </row>
    <row r="149" spans="1:19" ht="18" customHeight="1" x14ac:dyDescent="0.15">
      <c r="K149" s="27">
        <f>DCF!B99</f>
        <v>0.115</v>
      </c>
      <c r="L149" s="28">
        <f>DCF!D99</f>
        <v>377.35493016667579</v>
      </c>
      <c r="M149" s="3">
        <f>DCF!E99</f>
        <v>419.42222900257593</v>
      </c>
      <c r="N149" s="3"/>
      <c r="O149" s="3">
        <f>DCF!F99</f>
        <v>461.48952783847602</v>
      </c>
      <c r="P149" s="3"/>
      <c r="Q149" s="3">
        <f>DCF!G99</f>
        <v>503.55682667437617</v>
      </c>
      <c r="R149" s="3"/>
      <c r="S149" s="28">
        <f>DCF!H99</f>
        <v>545.62412551027626</v>
      </c>
    </row>
    <row r="150" spans="1:19" ht="18" customHeight="1" x14ac:dyDescent="0.15">
      <c r="K150" s="27">
        <f>DCF!B100</f>
        <v>0.12</v>
      </c>
      <c r="L150" s="29">
        <f>DCF!D100</f>
        <v>365.2617478470633</v>
      </c>
      <c r="M150" s="2">
        <f>DCF!E100</f>
        <v>405.61343625443044</v>
      </c>
      <c r="N150" s="2"/>
      <c r="O150" s="2">
        <f>DCF!F100</f>
        <v>445.96512466179763</v>
      </c>
      <c r="P150" s="2"/>
      <c r="Q150" s="2">
        <f>DCF!G100</f>
        <v>486.31681306916488</v>
      </c>
      <c r="R150" s="2"/>
      <c r="S150" s="29">
        <f>DCF!H100</f>
        <v>526.66850147653213</v>
      </c>
    </row>
    <row r="151" spans="1:19" ht="18" customHeight="1" x14ac:dyDescent="0.15">
      <c r="K151" s="27">
        <f>DCF!B101</f>
        <v>0.125</v>
      </c>
      <c r="L151" s="29">
        <f>DCF!D101</f>
        <v>353.66521481627689</v>
      </c>
      <c r="M151" s="1">
        <f>DCF!E101</f>
        <v>392.37843911309392</v>
      </c>
      <c r="N151" s="1"/>
      <c r="O151" s="1">
        <f>DCF!F101</f>
        <v>431.09166340991089</v>
      </c>
      <c r="P151" s="1"/>
      <c r="Q151" s="1">
        <f>DCF!G101</f>
        <v>469.80488770672798</v>
      </c>
      <c r="R151" s="1"/>
      <c r="S151" s="29">
        <f>DCF!H101</f>
        <v>508.51811200354507</v>
      </c>
    </row>
    <row r="152" spans="1:19" ht="18" customHeight="1" x14ac:dyDescent="0.15">
      <c r="K152" s="27">
        <f>DCF!B102</f>
        <v>0.13</v>
      </c>
      <c r="L152" s="29">
        <f>DCF!D102</f>
        <v>342.54212732537945</v>
      </c>
      <c r="M152" s="1">
        <f>DCF!E102</f>
        <v>379.69024474536741</v>
      </c>
      <c r="N152" s="1"/>
      <c r="O152" s="339">
        <f>DCF!F102</f>
        <v>416.83836216535542</v>
      </c>
      <c r="P152" s="339"/>
      <c r="Q152" s="1">
        <f>DCF!G102</f>
        <v>453.98647958534337</v>
      </c>
      <c r="R152" s="1"/>
      <c r="S152" s="29">
        <f>DCF!H102</f>
        <v>491.13459700533144</v>
      </c>
    </row>
    <row r="153" spans="1:19" ht="18" customHeight="1" x14ac:dyDescent="0.15">
      <c r="K153" s="27">
        <f>DCF!B103</f>
        <v>0.13500000000000001</v>
      </c>
      <c r="L153" s="29">
        <f>DCF!D103</f>
        <v>331.87047812378529</v>
      </c>
      <c r="M153" s="1">
        <f>DCF!E103</f>
        <v>367.52325850121241</v>
      </c>
      <c r="N153" s="1"/>
      <c r="O153" s="1">
        <f>DCF!F103</f>
        <v>403.17603887863953</v>
      </c>
      <c r="P153" s="1"/>
      <c r="Q153" s="1">
        <f>DCF!G103</f>
        <v>438.82881925606677</v>
      </c>
      <c r="R153" s="1"/>
      <c r="S153" s="29">
        <f>DCF!H103</f>
        <v>474.48159963349389</v>
      </c>
    </row>
    <row r="154" spans="1:19" ht="18" customHeight="1" x14ac:dyDescent="0.15">
      <c r="K154" s="27">
        <f>DCF!B104</f>
        <v>0.14000000000000001</v>
      </c>
      <c r="L154" s="29">
        <f>DCF!D104</f>
        <v>321.62938938445757</v>
      </c>
      <c r="M154" s="2">
        <f>DCF!E104</f>
        <v>355.85320528147651</v>
      </c>
      <c r="N154" s="2"/>
      <c r="O154" s="2">
        <f>DCF!F104</f>
        <v>390.07702117849561</v>
      </c>
      <c r="P154" s="2"/>
      <c r="Q154" s="2">
        <f>DCF!G104</f>
        <v>424.30083707551455</v>
      </c>
      <c r="R154" s="2"/>
      <c r="S154" s="29">
        <f>DCF!H104</f>
        <v>458.52465297253366</v>
      </c>
    </row>
    <row r="155" spans="1:19" ht="13.5" customHeight="1" x14ac:dyDescent="0.15">
      <c r="K155" s="23" t="s">
        <v>54</v>
      </c>
    </row>
    <row r="156" spans="1:19" ht="13.5" customHeight="1" x14ac:dyDescent="0.15">
      <c r="A156" s="31" t="str">
        <f>"FCF ≈ "&amp;TEXT(F244/B244,"0.0")&amp;"x · +"&amp;TEXT((F244/B244)^(1/4)-1,"0%")&amp;" CAGR FY2025A → FY2029E (arrow in chart)"</f>
        <v>FCF ≈ 8.0x · +68% CAGR FY2025A → FY2029E (arrow in chart)</v>
      </c>
    </row>
    <row r="157" spans="1:19" ht="13.5" customHeight="1" x14ac:dyDescent="0.15">
      <c r="A157" s="23" t="s">
        <v>55</v>
      </c>
    </row>
    <row r="158" spans="1:19" ht="13.5" customHeight="1" x14ac:dyDescent="0.15">
      <c r="A158" s="24" t="s">
        <v>56</v>
      </c>
    </row>
    <row r="160" spans="1:19" ht="13.5" customHeight="1" x14ac:dyDescent="0.15">
      <c r="A160" s="19"/>
    </row>
    <row r="161" spans="1:9" ht="15.75" customHeight="1" x14ac:dyDescent="0.2">
      <c r="A161" s="5" t="s">
        <v>57</v>
      </c>
      <c r="B161" s="5"/>
      <c r="C161" s="5"/>
      <c r="D161" s="5"/>
      <c r="E161" s="5"/>
      <c r="F161" s="5"/>
      <c r="G161" s="5"/>
      <c r="H161" s="5"/>
      <c r="I161" s="5"/>
    </row>
    <row r="162" spans="1:9" ht="13.5" customHeight="1" x14ac:dyDescent="0.15">
      <c r="A162" s="8" t="s">
        <v>58</v>
      </c>
      <c r="B162" s="8"/>
      <c r="C162" s="8"/>
      <c r="D162" s="8"/>
      <c r="E162" s="8"/>
      <c r="F162" s="8"/>
      <c r="G162" s="8"/>
      <c r="H162" s="8"/>
      <c r="I162" s="8"/>
    </row>
    <row r="163" spans="1:9" ht="13.5" customHeight="1" x14ac:dyDescent="0.15"/>
    <row r="164" spans="1:9" ht="13.5" customHeight="1" x14ac:dyDescent="0.15"/>
    <row r="165" spans="1:9" ht="13.5" customHeight="1" x14ac:dyDescent="0.15">
      <c r="G165" s="32" t="s">
        <v>59</v>
      </c>
    </row>
    <row r="166" spans="1:9" ht="13.5" customHeight="1" x14ac:dyDescent="0.15">
      <c r="G166" s="32" t="s">
        <v>60</v>
      </c>
    </row>
    <row r="167" spans="1:9" ht="13.5" customHeight="1" x14ac:dyDescent="0.15">
      <c r="G167" s="32" t="s">
        <v>61</v>
      </c>
    </row>
    <row r="168" spans="1:9" ht="13.5" customHeight="1" x14ac:dyDescent="0.15"/>
    <row r="169" spans="1:9" ht="13.5" customHeight="1" x14ac:dyDescent="0.15"/>
    <row r="170" spans="1:9" ht="13.5" customHeight="1" x14ac:dyDescent="0.15"/>
    <row r="171" spans="1:9" ht="13.5" customHeight="1" x14ac:dyDescent="0.15"/>
    <row r="172" spans="1:9" ht="13.5" customHeight="1" x14ac:dyDescent="0.15"/>
    <row r="173" spans="1:9" ht="13.5" customHeight="1" x14ac:dyDescent="0.15"/>
    <row r="174" spans="1:9" ht="13.5" customHeight="1" x14ac:dyDescent="0.15"/>
    <row r="175" spans="1:9" ht="13.5" customHeight="1" x14ac:dyDescent="0.15"/>
    <row r="176" spans="1:9" ht="13.5" customHeight="1" x14ac:dyDescent="0.15"/>
    <row r="177" spans="1:19" ht="13.5" customHeight="1" x14ac:dyDescent="0.15"/>
    <row r="178" spans="1:19" ht="13.5" customHeight="1" x14ac:dyDescent="0.15"/>
    <row r="179" spans="1:19" ht="13.5" customHeight="1" x14ac:dyDescent="0.15"/>
    <row r="180" spans="1:19" ht="13.5" customHeight="1" x14ac:dyDescent="0.15"/>
    <row r="181" spans="1:19" ht="13.5" customHeight="1" x14ac:dyDescent="0.15"/>
    <row r="182" spans="1:19" ht="13.5" customHeight="1" x14ac:dyDescent="0.15"/>
    <row r="183" spans="1:19" ht="13.5" customHeight="1" x14ac:dyDescent="0.15">
      <c r="A183" s="23" t="s">
        <v>62</v>
      </c>
    </row>
    <row r="184" spans="1:19" ht="13.5" customHeight="1" x14ac:dyDescent="0.15">
      <c r="A184" s="24" t="s">
        <v>63</v>
      </c>
    </row>
    <row r="185" spans="1:19" ht="13.5" customHeight="1" x14ac:dyDescent="0.15"/>
    <row r="186" spans="1:19" ht="13.5" customHeight="1" x14ac:dyDescent="0.15">
      <c r="A186" s="19" t="s">
        <v>64</v>
      </c>
    </row>
    <row r="187" spans="1:19" ht="15.75" customHeight="1" x14ac:dyDescent="0.2">
      <c r="A187" s="5" t="s">
        <v>65</v>
      </c>
      <c r="B187" s="5"/>
      <c r="C187" s="5"/>
      <c r="D187" s="5"/>
      <c r="E187" s="5"/>
      <c r="F187" s="5"/>
      <c r="G187" s="5"/>
      <c r="H187" s="5"/>
      <c r="I187" s="5"/>
      <c r="J187" s="5"/>
      <c r="K187" s="5"/>
      <c r="L187" s="5"/>
      <c r="M187" s="5"/>
      <c r="N187" s="5"/>
      <c r="O187" s="5"/>
      <c r="P187" s="5"/>
      <c r="Q187" s="5"/>
      <c r="R187" s="5"/>
      <c r="S187" s="5"/>
    </row>
    <row r="188" spans="1:19" ht="13.5" customHeight="1" x14ac:dyDescent="0.15">
      <c r="A188" s="8" t="s">
        <v>66</v>
      </c>
      <c r="B188" s="8"/>
      <c r="C188" s="8"/>
      <c r="D188" s="8"/>
      <c r="E188" s="8"/>
      <c r="F188" s="8"/>
      <c r="G188" s="8"/>
      <c r="H188" s="8"/>
      <c r="I188" s="8"/>
      <c r="J188" s="8"/>
      <c r="K188" s="8"/>
      <c r="L188" s="8"/>
      <c r="M188" s="8"/>
      <c r="N188" s="8"/>
      <c r="O188" s="8"/>
      <c r="P188" s="8"/>
      <c r="Q188" s="8"/>
      <c r="R188" s="8"/>
      <c r="S188" s="8"/>
    </row>
    <row r="189" spans="1:19" ht="13.5" customHeight="1" x14ac:dyDescent="0.15"/>
    <row r="190" spans="1:19" ht="13.5" customHeight="1" x14ac:dyDescent="0.15"/>
    <row r="191" spans="1:19" ht="13.5" customHeight="1" x14ac:dyDescent="0.15"/>
    <row r="192" spans="1:19" ht="13.5" customHeight="1" x14ac:dyDescent="0.15"/>
    <row r="193" ht="13.5" customHeight="1" x14ac:dyDescent="0.15"/>
    <row r="194" ht="13.5" customHeight="1" x14ac:dyDescent="0.15"/>
    <row r="195" ht="13.5" customHeight="1" x14ac:dyDescent="0.15"/>
    <row r="196" ht="13.5" customHeight="1" x14ac:dyDescent="0.15"/>
    <row r="197" ht="13.5" customHeight="1" x14ac:dyDescent="0.15"/>
    <row r="198" ht="13.5" customHeight="1" x14ac:dyDescent="0.15"/>
    <row r="199" ht="13.5" customHeight="1" x14ac:dyDescent="0.15"/>
    <row r="200" ht="13.5" customHeight="1" x14ac:dyDescent="0.15"/>
    <row r="201" ht="13.5" customHeight="1" x14ac:dyDescent="0.15"/>
    <row r="202" ht="13.5" customHeight="1" x14ac:dyDescent="0.15"/>
    <row r="203" ht="13.5" customHeight="1" x14ac:dyDescent="0.15"/>
    <row r="204" ht="13.5" customHeight="1" x14ac:dyDescent="0.15"/>
    <row r="205" ht="13.5" customHeight="1" x14ac:dyDescent="0.15"/>
    <row r="206" ht="13.5" customHeight="1" x14ac:dyDescent="0.15"/>
    <row r="207" ht="13.5" customHeight="1" x14ac:dyDescent="0.15"/>
    <row r="208" ht="13.5" customHeight="1" x14ac:dyDescent="0.15"/>
    <row r="209" spans="1:19" ht="13.5" customHeight="1" x14ac:dyDescent="0.15">
      <c r="A209" s="23" t="s">
        <v>67</v>
      </c>
    </row>
    <row r="210" spans="1:19" ht="13.5" customHeight="1" x14ac:dyDescent="0.15">
      <c r="A210" s="24" t="s">
        <v>68</v>
      </c>
    </row>
    <row r="211" spans="1:19" ht="13.5" customHeight="1" x14ac:dyDescent="0.15"/>
    <row r="212" spans="1:19" ht="13.5" customHeight="1" x14ac:dyDescent="0.15"/>
    <row r="213" spans="1:19" ht="13.5" customHeight="1" x14ac:dyDescent="0.15">
      <c r="A213" s="33"/>
      <c r="B213" s="33"/>
      <c r="C213" s="33"/>
      <c r="D213" s="33"/>
      <c r="E213" s="33"/>
      <c r="F213" s="33"/>
      <c r="G213" s="33"/>
      <c r="H213" s="33"/>
      <c r="I213" s="33"/>
      <c r="J213" s="33"/>
      <c r="K213" s="33"/>
      <c r="L213" s="33"/>
      <c r="M213" s="33"/>
      <c r="N213" s="33"/>
      <c r="O213" s="33"/>
      <c r="P213" s="33"/>
      <c r="Q213" s="33"/>
      <c r="R213" s="33"/>
      <c r="S213" s="33"/>
    </row>
    <row r="214" spans="1:19" ht="13.5" customHeight="1" x14ac:dyDescent="0.15">
      <c r="A214" s="24" t="s">
        <v>69</v>
      </c>
      <c r="S214" s="34" t="s">
        <v>70</v>
      </c>
    </row>
    <row r="215" spans="1:19" ht="13.5" customHeight="1" x14ac:dyDescent="0.15"/>
    <row r="216" spans="1:19" ht="13.5" customHeight="1" x14ac:dyDescent="0.15">
      <c r="A216" s="21" t="s">
        <v>71</v>
      </c>
    </row>
    <row r="217" spans="1:19" ht="13.5" customHeight="1" x14ac:dyDescent="0.15">
      <c r="A217" s="24" t="s">
        <v>72</v>
      </c>
    </row>
    <row r="218" spans="1:19" ht="13.5" customHeight="1" x14ac:dyDescent="0.15"/>
    <row r="219" spans="1:19" ht="13.5" customHeight="1" x14ac:dyDescent="0.15">
      <c r="A219" s="35" t="s">
        <v>73</v>
      </c>
      <c r="B219" s="15"/>
      <c r="C219" s="15"/>
      <c r="D219" s="15"/>
      <c r="E219" s="15"/>
      <c r="F219" s="15"/>
      <c r="G219" s="15"/>
      <c r="H219" s="15"/>
      <c r="I219" s="15"/>
      <c r="J219" s="15"/>
      <c r="K219" s="15"/>
      <c r="L219" s="15"/>
      <c r="M219" s="15"/>
      <c r="N219" s="15"/>
      <c r="O219" s="15"/>
      <c r="P219" s="15"/>
      <c r="Q219" s="15"/>
      <c r="R219" s="15"/>
      <c r="S219" s="15"/>
    </row>
    <row r="220" spans="1:19" ht="13.5" customHeight="1" x14ac:dyDescent="0.15">
      <c r="A220" s="31" t="s">
        <v>74</v>
      </c>
      <c r="B220" s="36" t="str">
        <f>IS!W5</f>
        <v>FY2025A</v>
      </c>
      <c r="C220" s="36" t="str">
        <f>IS!X5</f>
        <v>FY2026A</v>
      </c>
      <c r="D220" s="36" t="str">
        <f>IS!Y5</f>
        <v>FY2027E</v>
      </c>
      <c r="E220" s="36" t="str">
        <f>IS!Z5</f>
        <v>FY2028E</v>
      </c>
      <c r="F220" s="36" t="str">
        <f>IS!AA5</f>
        <v>FY2029E</v>
      </c>
    </row>
    <row r="221" spans="1:19" ht="13.5" customHeight="1" x14ac:dyDescent="0.15">
      <c r="A221" s="31" t="s">
        <v>75</v>
      </c>
      <c r="B221" s="37">
        <f>Segment!W8</f>
        <v>115186</v>
      </c>
      <c r="C221" s="37">
        <f>Segment!X8</f>
        <v>193737</v>
      </c>
      <c r="D221" s="37">
        <f>Segment!Y8</f>
        <v>377627.11727847997</v>
      </c>
      <c r="E221" s="37">
        <f>Segment!Z8</f>
        <v>656779.38875341625</v>
      </c>
      <c r="F221" s="37">
        <f>Segment!AA8</f>
        <v>883104.88318001898</v>
      </c>
    </row>
    <row r="222" spans="1:19" ht="13.5" customHeight="1" x14ac:dyDescent="0.15">
      <c r="A222" s="31" t="s">
        <v>76</v>
      </c>
      <c r="B222" s="37">
        <f>Segment!W9</f>
        <v>15311</v>
      </c>
      <c r="C222" s="37">
        <f>Segment!X9</f>
        <v>22201</v>
      </c>
      <c r="D222" s="37">
        <f>Segment!Y9</f>
        <v>29064.659</v>
      </c>
      <c r="E222" s="37">
        <f>Segment!Z9</f>
        <v>34596.630919999996</v>
      </c>
      <c r="F222" s="37">
        <f>Segment!AA9</f>
        <v>39389.843357983998</v>
      </c>
    </row>
    <row r="223" spans="1:19" ht="13.5" customHeight="1" x14ac:dyDescent="0.15">
      <c r="A223" s="31" t="s">
        <v>77</v>
      </c>
      <c r="B223" s="37">
        <f>Segment!W10</f>
        <v>130497</v>
      </c>
      <c r="C223" s="37">
        <f>Segment!X10</f>
        <v>215938</v>
      </c>
      <c r="D223" s="37">
        <f>Segment!Y10</f>
        <v>406691.77627847996</v>
      </c>
      <c r="E223" s="37">
        <f>Segment!Z10</f>
        <v>691376.01967341627</v>
      </c>
      <c r="F223" s="37">
        <f>Segment!AA10</f>
        <v>922494.72653800296</v>
      </c>
    </row>
    <row r="224" spans="1:19" ht="13.5" customHeight="1" x14ac:dyDescent="0.15">
      <c r="A224" s="31" t="s">
        <v>78</v>
      </c>
      <c r="C224" s="38">
        <f>C223/B223-1</f>
        <v>0.65473535790094783</v>
      </c>
      <c r="D224" s="38">
        <f>D223/C223-1</f>
        <v>0.88337289536107577</v>
      </c>
      <c r="E224" s="38">
        <f>E223/D223-1</f>
        <v>0.70000000000000084</v>
      </c>
      <c r="F224" s="38">
        <f>F223/E223-1</f>
        <v>0.33428799999999947</v>
      </c>
    </row>
    <row r="225" spans="1:19" ht="13.5" customHeight="1" x14ac:dyDescent="0.15">
      <c r="A225" s="31" t="s">
        <v>79</v>
      </c>
      <c r="B225" s="37">
        <f>Segment!W44</f>
        <v>102196</v>
      </c>
      <c r="C225" s="37">
        <f>Segment!X44</f>
        <v>162361</v>
      </c>
      <c r="D225" s="37">
        <f>Segment!Y44</f>
        <v>304431.47398800001</v>
      </c>
      <c r="E225" s="37">
        <f>Segment!Z44</f>
        <v>523330.19024176599</v>
      </c>
      <c r="F225" s="37">
        <f>Segment!AA44</f>
        <v>695358.1757322984</v>
      </c>
    </row>
    <row r="226" spans="1:19" ht="13.5" customHeight="1" x14ac:dyDescent="0.15">
      <c r="A226" s="31" t="s">
        <v>80</v>
      </c>
      <c r="B226" s="37">
        <f>Segment!W45</f>
        <v>12990</v>
      </c>
      <c r="C226" s="37">
        <f>Segment!X45</f>
        <v>31376</v>
      </c>
      <c r="D226" s="37">
        <f>Segment!Y45</f>
        <v>73195.643290479988</v>
      </c>
      <c r="E226" s="37">
        <f>Segment!Z45</f>
        <v>133449.19851165023</v>
      </c>
      <c r="F226" s="37">
        <f>Segment!AA45</f>
        <v>187746.70744772055</v>
      </c>
    </row>
    <row r="227" spans="1:19" ht="13.5" customHeight="1" x14ac:dyDescent="0.15">
      <c r="A227" s="31" t="s">
        <v>81</v>
      </c>
      <c r="C227" s="38">
        <f t="shared" ref="C227:F228" si="0">C225/B225-1</f>
        <v>0.58872167208109905</v>
      </c>
      <c r="D227" s="38">
        <f t="shared" si="0"/>
        <v>0.87502832569397837</v>
      </c>
      <c r="E227" s="38">
        <f t="shared" si="0"/>
        <v>0.71904101565528156</v>
      </c>
      <c r="F227" s="38">
        <f t="shared" si="0"/>
        <v>0.32871787009088771</v>
      </c>
    </row>
    <row r="228" spans="1:19" ht="13.5" customHeight="1" x14ac:dyDescent="0.15">
      <c r="A228" s="31" t="s">
        <v>82</v>
      </c>
      <c r="C228" s="38">
        <f t="shared" si="0"/>
        <v>1.4153964588144725</v>
      </c>
      <c r="D228" s="38">
        <f t="shared" si="0"/>
        <v>1.332854515887302</v>
      </c>
      <c r="E228" s="38">
        <f t="shared" si="0"/>
        <v>0.82318499452284999</v>
      </c>
      <c r="F228" s="38">
        <f t="shared" si="0"/>
        <v>0.40687774480211725</v>
      </c>
    </row>
    <row r="229" spans="1:19" ht="13.5" customHeight="1" x14ac:dyDescent="0.15"/>
    <row r="230" spans="1:19" ht="13.5" customHeight="1" x14ac:dyDescent="0.15">
      <c r="A230" s="35" t="s">
        <v>83</v>
      </c>
      <c r="B230" s="15"/>
      <c r="C230" s="15"/>
      <c r="D230" s="15"/>
      <c r="E230" s="15"/>
      <c r="F230" s="15"/>
      <c r="G230" s="15"/>
      <c r="H230" s="15"/>
      <c r="I230" s="15"/>
      <c r="J230" s="15"/>
      <c r="K230" s="15"/>
      <c r="L230" s="15"/>
      <c r="M230" s="15"/>
      <c r="N230" s="15"/>
      <c r="O230" s="15"/>
      <c r="P230" s="15"/>
      <c r="Q230" s="15"/>
      <c r="R230" s="15"/>
      <c r="S230" s="15"/>
    </row>
    <row r="231" spans="1:19" ht="13.5" customHeight="1" x14ac:dyDescent="0.15">
      <c r="A231" s="31" t="s">
        <v>84</v>
      </c>
      <c r="B231" s="36" t="s">
        <v>85</v>
      </c>
      <c r="C231" s="36" t="s">
        <v>86</v>
      </c>
      <c r="D231" s="36" t="s">
        <v>87</v>
      </c>
      <c r="E231" s="36" t="s">
        <v>88</v>
      </c>
      <c r="F231" s="36" t="s">
        <v>89</v>
      </c>
      <c r="G231" s="36" t="s">
        <v>90</v>
      </c>
      <c r="H231" s="36" t="s">
        <v>91</v>
      </c>
    </row>
    <row r="232" spans="1:19" ht="13.5" customHeight="1" x14ac:dyDescent="0.15">
      <c r="A232" s="31" t="s">
        <v>92</v>
      </c>
      <c r="B232" s="37">
        <f>CF!Z7</f>
        <v>377584.20771304588</v>
      </c>
      <c r="C232" s="37">
        <f>CF!Z8</f>
        <v>8321.2970316593128</v>
      </c>
      <c r="D232" s="37">
        <f>CF!Z9</f>
        <v>9240</v>
      </c>
      <c r="E232" s="37">
        <f>CF!Z10</f>
        <v>-47536.51812153864</v>
      </c>
      <c r="F232" s="37">
        <f>CF!Z16</f>
        <v>347608.98662316654</v>
      </c>
      <c r="G232" s="37">
        <f>CF!Z17</f>
        <v>-20941.280590202488</v>
      </c>
      <c r="H232" s="37">
        <f>CF!Z16+CF!Z17</f>
        <v>326667.70603296405</v>
      </c>
    </row>
    <row r="233" spans="1:19" ht="13.5" customHeight="1" x14ac:dyDescent="0.15">
      <c r="A233" s="31" t="s">
        <v>93</v>
      </c>
      <c r="B233" s="39">
        <v>0</v>
      </c>
      <c r="C233" s="39">
        <f>B232</f>
        <v>377584.20771304588</v>
      </c>
      <c r="D233" s="39">
        <f>C233+C232</f>
        <v>385905.50474470516</v>
      </c>
      <c r="E233" s="39">
        <f>F232</f>
        <v>347608.98662316654</v>
      </c>
      <c r="F233" s="39">
        <v>0</v>
      </c>
      <c r="G233" s="39">
        <f>H232</f>
        <v>326667.70603296405</v>
      </c>
      <c r="H233" s="39">
        <v>0</v>
      </c>
    </row>
    <row r="234" spans="1:19" ht="13.5" customHeight="1" x14ac:dyDescent="0.15">
      <c r="A234" s="31" t="s">
        <v>94</v>
      </c>
      <c r="B234" s="37">
        <f>B232</f>
        <v>377584.20771304588</v>
      </c>
      <c r="F234" s="37">
        <f>F232</f>
        <v>347608.98662316654</v>
      </c>
      <c r="H234" s="37">
        <f>H232</f>
        <v>326667.70603296405</v>
      </c>
    </row>
    <row r="235" spans="1:19" ht="13.5" customHeight="1" x14ac:dyDescent="0.15">
      <c r="A235" s="31" t="s">
        <v>95</v>
      </c>
      <c r="C235" s="37">
        <f>C232</f>
        <v>8321.2970316593128</v>
      </c>
      <c r="D235" s="37">
        <f>D232</f>
        <v>9240</v>
      </c>
    </row>
    <row r="236" spans="1:19" ht="13.5" customHeight="1" x14ac:dyDescent="0.15">
      <c r="A236" s="31" t="s">
        <v>96</v>
      </c>
      <c r="E236" s="37">
        <f>-E232</f>
        <v>47536.51812153864</v>
      </c>
      <c r="G236" s="37">
        <f>-G232</f>
        <v>20941.280590202488</v>
      </c>
    </row>
    <row r="237" spans="1:19" ht="13.5" customHeight="1" x14ac:dyDescent="0.15"/>
    <row r="238" spans="1:19" ht="13.5" customHeight="1" x14ac:dyDescent="0.15">
      <c r="A238" s="35" t="s">
        <v>97</v>
      </c>
      <c r="B238" s="15"/>
      <c r="C238" s="15"/>
      <c r="D238" s="15"/>
      <c r="E238" s="15"/>
      <c r="F238" s="15"/>
      <c r="G238" s="15"/>
      <c r="H238" s="15"/>
      <c r="I238" s="15"/>
      <c r="J238" s="15"/>
      <c r="K238" s="15"/>
      <c r="L238" s="15"/>
      <c r="M238" s="15"/>
      <c r="N238" s="15"/>
      <c r="O238" s="15"/>
      <c r="P238" s="15"/>
      <c r="Q238" s="15"/>
      <c r="R238" s="15"/>
      <c r="S238" s="15"/>
    </row>
    <row r="239" spans="1:19" ht="13.5" customHeight="1" x14ac:dyDescent="0.15">
      <c r="A239" s="31" t="s">
        <v>74</v>
      </c>
      <c r="B239" s="36" t="str">
        <f>IS!W5</f>
        <v>FY2025A</v>
      </c>
      <c r="C239" s="36" t="str">
        <f>IS!X5</f>
        <v>FY2026A</v>
      </c>
      <c r="D239" s="36" t="str">
        <f>IS!Y5</f>
        <v>FY2027E</v>
      </c>
      <c r="E239" s="36" t="str">
        <f>IS!Z5</f>
        <v>FY2028E</v>
      </c>
      <c r="F239" s="36" t="str">
        <f>IS!AA5</f>
        <v>FY2029E</v>
      </c>
    </row>
    <row r="240" spans="1:19" ht="13.5" customHeight="1" x14ac:dyDescent="0.15">
      <c r="A240" s="31" t="s">
        <v>98</v>
      </c>
      <c r="B240" s="37">
        <f>-CF!W20</f>
        <v>33706</v>
      </c>
      <c r="C240" s="37">
        <f>-CF!X20</f>
        <v>40086</v>
      </c>
      <c r="D240" s="37">
        <f>-CF!Y20</f>
        <v>79300.456693887783</v>
      </c>
      <c r="E240" s="37">
        <f>-CF!Z20</f>
        <v>139333.85301648203</v>
      </c>
      <c r="F240" s="37">
        <f>-CF!AA20</f>
        <v>219110.44288797057</v>
      </c>
    </row>
    <row r="241" spans="1:19" ht="13.5" customHeight="1" x14ac:dyDescent="0.15">
      <c r="A241" s="31" t="s">
        <v>99</v>
      </c>
      <c r="B241" s="37">
        <f>-CF!W22</f>
        <v>834</v>
      </c>
      <c r="C241" s="37">
        <f>-CF!X22</f>
        <v>974</v>
      </c>
      <c r="D241" s="37">
        <f>-CF!Y22</f>
        <v>18290</v>
      </c>
      <c r="E241" s="37">
        <f>-CF!Z22</f>
        <v>24000</v>
      </c>
      <c r="F241" s="37">
        <f>-CF!AA22</f>
        <v>24000</v>
      </c>
    </row>
    <row r="242" spans="1:19" ht="13.5" customHeight="1" x14ac:dyDescent="0.15">
      <c r="A242" s="31" t="s">
        <v>100</v>
      </c>
      <c r="B242" s="37">
        <f>-CF!W21</f>
        <v>6930</v>
      </c>
      <c r="C242" s="37">
        <f>-CF!X21</f>
        <v>7948</v>
      </c>
      <c r="D242" s="37">
        <f>-CF!Y21</f>
        <v>9131</v>
      </c>
      <c r="E242" s="37">
        <f>-CF!Z21</f>
        <v>9200</v>
      </c>
      <c r="F242" s="37">
        <f>-CF!AA21</f>
        <v>9200</v>
      </c>
    </row>
    <row r="243" spans="1:19" ht="13.5" customHeight="1" x14ac:dyDescent="0.15">
      <c r="A243" s="31" t="s">
        <v>101</v>
      </c>
      <c r="B243" s="37">
        <f>CF!W16+CF!W17-B240-B241-B242</f>
        <v>19383</v>
      </c>
      <c r="C243" s="37">
        <f>CF!X16+CF!X17-C240-C241-C242</f>
        <v>47668</v>
      </c>
      <c r="D243" s="37">
        <f>CF!Y16+CF!Y17-D240-D241-D242</f>
        <v>67778.456693887812</v>
      </c>
      <c r="E243" s="37">
        <f>CF!Z16+CF!Z17-E240-E241-E242</f>
        <v>154133.85301648203</v>
      </c>
      <c r="F243" s="37">
        <f>CF!AA16+CF!AA17-F240-F241-F242</f>
        <v>233910.4428879706</v>
      </c>
    </row>
    <row r="244" spans="1:19" ht="13.5" customHeight="1" x14ac:dyDescent="0.15">
      <c r="A244" s="31" t="s">
        <v>102</v>
      </c>
      <c r="B244" s="37">
        <f>CF!W16+CF!W17</f>
        <v>60853</v>
      </c>
      <c r="C244" s="37">
        <f>CF!X16+CF!X17</f>
        <v>96676</v>
      </c>
      <c r="D244" s="37">
        <f>CF!Y16+CF!Y17</f>
        <v>174499.9133877756</v>
      </c>
      <c r="E244" s="37">
        <f>CF!Z16+CF!Z17</f>
        <v>326667.70603296405</v>
      </c>
      <c r="F244" s="37">
        <f>CF!AA16+CF!AA17</f>
        <v>486220.88577594113</v>
      </c>
    </row>
    <row r="245" spans="1:19" ht="13.5" customHeight="1" x14ac:dyDescent="0.15">
      <c r="A245" s="31" t="s">
        <v>103</v>
      </c>
      <c r="B245" s="37">
        <f>-CF!W20-CF!W22</f>
        <v>34540</v>
      </c>
      <c r="C245" s="37">
        <f>-CF!X20-CF!X22</f>
        <v>41060</v>
      </c>
      <c r="D245" s="37">
        <f>-CF!Y20-CF!Y22</f>
        <v>97590.456693887783</v>
      </c>
      <c r="E245" s="37">
        <f>-CF!Z20-CF!Z22</f>
        <v>163333.85301648203</v>
      </c>
      <c r="F245" s="37">
        <f>-CF!AA20-CF!AA22</f>
        <v>243110.44288797057</v>
      </c>
    </row>
    <row r="246" spans="1:19" ht="13.5" customHeight="1" x14ac:dyDescent="0.15">
      <c r="A246" s="40" t="s">
        <v>104</v>
      </c>
    </row>
    <row r="247" spans="1:19" ht="13.5" customHeight="1" x14ac:dyDescent="0.15">
      <c r="A247" s="31" t="s">
        <v>105</v>
      </c>
      <c r="B247" s="41">
        <v>1</v>
      </c>
      <c r="C247" s="41">
        <v>5</v>
      </c>
    </row>
    <row r="248" spans="1:19" ht="13.5" customHeight="1" x14ac:dyDescent="0.15">
      <c r="A248" s="31" t="s">
        <v>106</v>
      </c>
      <c r="B248" s="37">
        <f>B244</f>
        <v>60853</v>
      </c>
      <c r="C248" s="37">
        <f>F244</f>
        <v>486220.88577594113</v>
      </c>
    </row>
    <row r="249" spans="1:19" ht="13.5" customHeight="1" x14ac:dyDescent="0.15">
      <c r="A249" s="31" t="s">
        <v>107</v>
      </c>
      <c r="B249" s="37">
        <f>B245</f>
        <v>34540</v>
      </c>
      <c r="C249" s="37">
        <f>F245</f>
        <v>243110.44288797057</v>
      </c>
    </row>
    <row r="250" spans="1:19" ht="13.5" customHeight="1" x14ac:dyDescent="0.15"/>
    <row r="251" spans="1:19" ht="13.5" customHeight="1" x14ac:dyDescent="0.15">
      <c r="A251" s="35" t="s">
        <v>108</v>
      </c>
      <c r="B251" s="15"/>
      <c r="C251" s="15"/>
      <c r="D251" s="15"/>
      <c r="E251" s="15"/>
      <c r="F251" s="15"/>
      <c r="G251" s="15"/>
      <c r="H251" s="15"/>
      <c r="I251" s="15"/>
      <c r="J251" s="15"/>
      <c r="K251" s="15"/>
      <c r="L251" s="15"/>
      <c r="M251" s="15"/>
      <c r="N251" s="15"/>
      <c r="O251" s="15"/>
      <c r="P251" s="15"/>
      <c r="Q251" s="15"/>
      <c r="R251" s="15"/>
      <c r="S251" s="15"/>
    </row>
    <row r="252" spans="1:19" ht="13.5" customHeight="1" x14ac:dyDescent="0.15">
      <c r="A252" s="31" t="s">
        <v>84</v>
      </c>
      <c r="B252" s="36" t="s">
        <v>109</v>
      </c>
      <c r="C252" s="36" t="s">
        <v>110</v>
      </c>
      <c r="D252" s="36" t="s">
        <v>111</v>
      </c>
      <c r="E252" s="36" t="s">
        <v>112</v>
      </c>
      <c r="F252" s="36" t="s">
        <v>113</v>
      </c>
      <c r="G252" s="36" t="s">
        <v>114</v>
      </c>
      <c r="H252" s="36" t="s">
        <v>115</v>
      </c>
    </row>
    <row r="253" spans="1:19" ht="13.5" customHeight="1" x14ac:dyDescent="0.15">
      <c r="A253" s="31" t="s">
        <v>92</v>
      </c>
      <c r="B253" s="42">
        <f>IS!Z9/IS!Z7</f>
        <v>0.72540851262082662</v>
      </c>
      <c r="C253" s="42">
        <f>IS!Z10/IS!Z7</f>
        <v>-6.3351922475832642E-2</v>
      </c>
      <c r="D253" s="42">
        <f>IS!Z11/IS!Z7</f>
        <v>-9.4304688251696071E-3</v>
      </c>
      <c r="E253" s="42">
        <f>IS!Z13/IS!Z7</f>
        <v>0.65262612131982445</v>
      </c>
      <c r="F253" s="42">
        <f>IS!Z19/IS!Z7</f>
        <v>5.3670968992317681E-3</v>
      </c>
      <c r="G253" s="42">
        <f>IS!Z21/IS!Z7</f>
        <v>-0.11185884709723955</v>
      </c>
      <c r="H253" s="42">
        <f>IS!Z22/IS!Z7</f>
        <v>0.54613437112181662</v>
      </c>
    </row>
    <row r="254" spans="1:19" ht="13.5" customHeight="1" x14ac:dyDescent="0.15">
      <c r="A254" s="31" t="s">
        <v>93</v>
      </c>
      <c r="B254" s="43">
        <v>0</v>
      </c>
      <c r="C254" s="43">
        <f>B253+C253</f>
        <v>0.66205659014499396</v>
      </c>
      <c r="D254" s="43">
        <f>C254+D253</f>
        <v>0.65262612131982434</v>
      </c>
      <c r="E254" s="43">
        <v>0</v>
      </c>
      <c r="F254" s="43">
        <f>E253</f>
        <v>0.65262612131982445</v>
      </c>
      <c r="G254" s="43">
        <f>H253</f>
        <v>0.54613437112181662</v>
      </c>
      <c r="H254" s="43">
        <v>0</v>
      </c>
    </row>
    <row r="255" spans="1:19" ht="13.5" customHeight="1" x14ac:dyDescent="0.15">
      <c r="A255" s="31" t="s">
        <v>94</v>
      </c>
      <c r="B255" s="42">
        <f>B253</f>
        <v>0.72540851262082662</v>
      </c>
      <c r="E255" s="42">
        <f>E253</f>
        <v>0.65262612131982445</v>
      </c>
      <c r="H255" s="42">
        <f>H253</f>
        <v>0.54613437112181662</v>
      </c>
    </row>
    <row r="256" spans="1:19" ht="13.5" customHeight="1" x14ac:dyDescent="0.15">
      <c r="A256" s="31" t="s">
        <v>95</v>
      </c>
      <c r="F256" s="42">
        <f>F253</f>
        <v>5.3670968992317681E-3</v>
      </c>
    </row>
    <row r="257" spans="1:19" ht="13.5" customHeight="1" x14ac:dyDescent="0.15">
      <c r="A257" s="31" t="s">
        <v>96</v>
      </c>
      <c r="C257" s="42">
        <f>-C253</f>
        <v>6.3351922475832642E-2</v>
      </c>
      <c r="D257" s="42">
        <f>-D253</f>
        <v>9.4304688251696071E-3</v>
      </c>
      <c r="G257" s="42">
        <f>-G253</f>
        <v>0.11185884709723955</v>
      </c>
    </row>
    <row r="258" spans="1:19" ht="13.5" customHeight="1" x14ac:dyDescent="0.15"/>
    <row r="259" spans="1:19" ht="13.5" customHeight="1" x14ac:dyDescent="0.15">
      <c r="A259" s="35" t="s">
        <v>116</v>
      </c>
      <c r="B259" s="15"/>
      <c r="C259" s="15"/>
      <c r="D259" s="15"/>
      <c r="E259" s="15"/>
      <c r="F259" s="15"/>
      <c r="G259" s="15"/>
      <c r="H259" s="15"/>
      <c r="I259" s="15"/>
      <c r="J259" s="15"/>
      <c r="K259" s="15"/>
      <c r="L259" s="15"/>
      <c r="M259" s="15"/>
      <c r="N259" s="15"/>
      <c r="O259" s="15"/>
      <c r="P259" s="15"/>
      <c r="Q259" s="15"/>
      <c r="R259" s="15"/>
      <c r="S259" s="15"/>
    </row>
    <row r="260" spans="1:19" ht="13.5" customHeight="1" x14ac:dyDescent="0.15">
      <c r="A260" s="31" t="s">
        <v>117</v>
      </c>
      <c r="B260" s="44"/>
      <c r="C260" s="45" t="str">
        <f>"Current price  "&amp;TEXT(Valuation!B23,"$0.00")</f>
        <v>Current price  $230.48</v>
      </c>
      <c r="D260" s="45" t="str">
        <f>"DCF Gordon base  "&amp;TEXT(DCF!B71,"$0")</f>
        <v>DCF Gordon base  $307</v>
      </c>
      <c r="E260" s="45" t="str">
        <f>"Model target  "&amp;TEXT(Valuation!B42,"$0")&amp;"  (20x FY28E EPS)"</f>
        <v>Model target  $315  (20x FY28E EPS)</v>
      </c>
      <c r="F260" s="45" t="str">
        <f>"Street TP mean  "&amp;TEXT(Valuation!B19,"$0")</f>
        <v>Street TP mean  $316</v>
      </c>
      <c r="G260" s="45" t="str">
        <f>"Fair-value band (street IQR)  "&amp;TEXT(Valuation!B31,"$0")&amp;"–"&amp;TEXT(Valuation!C31,"$0")</f>
        <v>Fair-value band (street IQR)  $300–$335</v>
      </c>
      <c r="H260" s="44" t="str">
        <f>"Street TP tape  "&amp;TEXT(Valuation!B30,"$0")&amp;"–"&amp;TEXT(Valuation!C30,"$0")</f>
        <v>Street TP tape  $275–$365</v>
      </c>
      <c r="I260" s="44" t="str">
        <f>"Comps asset/sales family  "&amp;TEXT(Valuation!B29,"$0")&amp;"–"&amp;TEXT(Valuation!C29,"$0")</f>
        <v>Comps asset/sales family  $128–$293</v>
      </c>
      <c r="J260" s="44" t="str">
        <f>"Comps P/E family  "&amp;TEXT(Valuation!B28,"$0")&amp;"–"&amp;TEXT(Valuation!C28,"$0")</f>
        <v>Comps P/E family  $538–$838</v>
      </c>
      <c r="K260" s="44" t="str">
        <f>"DCF family  "&amp;TEXT(Valuation!B27,"$0")&amp;"–"&amp;TEXT(Valuation!C27,"$0")</f>
        <v>DCF family  $202–$420</v>
      </c>
      <c r="L260" s="44" t="str">
        <f>"DCF family  "&amp;TEXT(Valuation!C27,"$0")&amp;"–"&amp;TEXT(Valuation!D27,"$0")</f>
        <v>DCF family  $420–Gordon bear ↔ exit cross-check</v>
      </c>
      <c r="M260" s="44" t="str">
        <f>"DCF family  "&amp;TEXT(Valuation!D27,"$0")&amp;"–"&amp;TEXT(Valuation!E27,"$0")</f>
        <v>DCF family  Gordon bear ↔ exit cross-check–$0</v>
      </c>
      <c r="N260" s="44" t="str">
        <f>"DCF family  "&amp;TEXT(Valuation!E27,"$0")&amp;"–"&amp;TEXT(Valuation!F27,"$0")</f>
        <v>DCF family  $0–Spans the declared scenario + terminal-method space</v>
      </c>
      <c r="O260" s="44" t="str">
        <f>"DCF family  "&amp;TEXT(Valuation!F27,"$0")&amp;"–"&amp;TEXT(Valuation!G27,"$0")</f>
        <v>DCF family  Spans the declared scenario + terminal-method space–$0</v>
      </c>
      <c r="P260" s="44" t="str">
        <f>"DCF family  "&amp;TEXT(Valuation!G27,"$0")&amp;"–"&amp;TEXT(Valuation!H27,"$0")</f>
        <v>DCF family  $0–$0</v>
      </c>
      <c r="Q260" s="44" t="str">
        <f>"DCF family  "&amp;TEXT(Valuation!H27,"$0")&amp;"–"&amp;TEXT(Valuation!I27,"$0")</f>
        <v>DCF family  $0–$0</v>
      </c>
      <c r="R260" s="44" t="str">
        <f>"DCF family  "&amp;TEXT(Valuation!I27,"$0")&amp;"–"&amp;TEXT(Valuation!J27,"$0")</f>
        <v>DCF family  $0–$0</v>
      </c>
      <c r="S260" s="44" t="str">
        <f>"DCF family  "&amp;TEXT(Valuation!J27,"$0")&amp;"–"&amp;TEXT(Valuation!K27,"$0")</f>
        <v>DCF family  $0–$0</v>
      </c>
    </row>
    <row r="261" spans="1:19" ht="13.5" customHeight="1" x14ac:dyDescent="0.15">
      <c r="A261" s="31" t="s">
        <v>118</v>
      </c>
      <c r="B261" s="46">
        <v>0</v>
      </c>
      <c r="C261" s="46">
        <f>Valuation!B23-8</f>
        <v>222.48</v>
      </c>
      <c r="D261" s="46">
        <f>DCF!B71-8</f>
        <v>299.12299279094611</v>
      </c>
      <c r="E261" s="46">
        <f>Valuation!B42-8</f>
        <v>307</v>
      </c>
      <c r="F261" s="46">
        <f>Valuation!B19-8</f>
        <v>308.46666666666664</v>
      </c>
      <c r="G261" s="46">
        <f>Valuation!B31</f>
        <v>300</v>
      </c>
      <c r="H261" s="47">
        <f>Valuation!B30</f>
        <v>275</v>
      </c>
      <c r="I261" s="47">
        <f>Valuation!B29</f>
        <v>127.7950095385536</v>
      </c>
      <c r="J261" s="47">
        <f>Valuation!B28</f>
        <v>538.46259265495098</v>
      </c>
      <c r="K261" s="47">
        <f>Valuation!B27</f>
        <v>202.05485224764851</v>
      </c>
      <c r="L261" s="47">
        <f>Valuation!C27</f>
        <v>419.68462925112073</v>
      </c>
      <c r="M261" s="47" t="str">
        <f>Valuation!D27</f>
        <v>Gordon bear ↔ exit cross-check</v>
      </c>
      <c r="N261" s="47">
        <f>Valuation!E27</f>
        <v>0</v>
      </c>
      <c r="O261" s="47" t="str">
        <f>Valuation!F27</f>
        <v>Spans the declared scenario + terminal-method space</v>
      </c>
      <c r="P261" s="47">
        <f>Valuation!G27</f>
        <v>0</v>
      </c>
      <c r="Q261" s="47">
        <f>Valuation!H27</f>
        <v>0</v>
      </c>
      <c r="R261" s="47">
        <f>Valuation!I27</f>
        <v>0</v>
      </c>
      <c r="S261" s="47">
        <f>Valuation!J27</f>
        <v>0</v>
      </c>
    </row>
    <row r="262" spans="1:19" ht="13.5" customHeight="1" x14ac:dyDescent="0.15">
      <c r="A262" s="31" t="s">
        <v>119</v>
      </c>
      <c r="B262" s="46">
        <f>Valuation!C28</f>
        <v>838.38839344262317</v>
      </c>
      <c r="C262" s="46">
        <v>16</v>
      </c>
      <c r="D262" s="46">
        <v>16</v>
      </c>
      <c r="E262" s="46">
        <v>16</v>
      </c>
      <c r="F262" s="46">
        <v>16</v>
      </c>
      <c r="G262" s="46">
        <f>Valuation!C31-Valuation!B31</f>
        <v>35</v>
      </c>
      <c r="H262" s="47">
        <f>Valuation!C30-Valuation!B30</f>
        <v>90</v>
      </c>
      <c r="I262" s="47">
        <f>Valuation!C29-Valuation!B29</f>
        <v>165.58882043073419</v>
      </c>
      <c r="J262" s="47">
        <f>Valuation!C28-Valuation!B28</f>
        <v>299.92580078767219</v>
      </c>
      <c r="K262" s="47">
        <f>Valuation!C27-Valuation!B27</f>
        <v>217.62977700347221</v>
      </c>
      <c r="L262" s="47"/>
      <c r="M262" s="47"/>
      <c r="N262" s="47"/>
      <c r="O262" s="47"/>
      <c r="P262" s="47">
        <f>Valuation!H27-Valuation!G27</f>
        <v>0</v>
      </c>
      <c r="Q262" s="47">
        <f>Valuation!I27-Valuation!H27</f>
        <v>0</v>
      </c>
      <c r="R262" s="47">
        <f>Valuation!J27-Valuation!I27</f>
        <v>0</v>
      </c>
      <c r="S262" s="47">
        <f>Valuation!K27-Valuation!J27</f>
        <v>0</v>
      </c>
    </row>
    <row r="264" spans="1:19" ht="13.5" customHeight="1" x14ac:dyDescent="0.15">
      <c r="A264" s="31"/>
      <c r="B264" s="48"/>
      <c r="C264" s="48"/>
    </row>
    <row r="265" spans="1:19" ht="13.5" customHeight="1" x14ac:dyDescent="0.15">
      <c r="A265" s="31"/>
      <c r="B265" s="48"/>
      <c r="C265" s="48"/>
    </row>
    <row r="266" spans="1:19" ht="13.5" customHeight="1" x14ac:dyDescent="0.15">
      <c r="A266" s="31"/>
      <c r="B266" s="48"/>
      <c r="C266" s="48"/>
    </row>
    <row r="267" spans="1:19" ht="13.5" customHeight="1" x14ac:dyDescent="0.15">
      <c r="A267" s="31"/>
      <c r="B267" s="48"/>
      <c r="C267" s="48"/>
    </row>
    <row r="268" spans="1:19" ht="13.5" customHeight="1" x14ac:dyDescent="0.15">
      <c r="A268" s="31"/>
      <c r="B268" s="41"/>
      <c r="C268" s="41"/>
    </row>
    <row r="270" spans="1:19" ht="13.5" customHeight="1" x14ac:dyDescent="0.15">
      <c r="A270" s="35" t="s">
        <v>120</v>
      </c>
      <c r="B270" s="15"/>
      <c r="C270" s="15"/>
      <c r="D270" s="15"/>
      <c r="E270" s="15"/>
      <c r="F270" s="15"/>
      <c r="G270" s="15"/>
      <c r="H270" s="15"/>
      <c r="I270" s="15"/>
      <c r="J270" s="15"/>
      <c r="K270" s="15"/>
      <c r="L270" s="15"/>
      <c r="M270" s="15"/>
      <c r="N270" s="15"/>
      <c r="O270" s="15"/>
      <c r="P270" s="15"/>
      <c r="Q270" s="15"/>
      <c r="R270" s="15"/>
      <c r="S270" s="15"/>
    </row>
    <row r="271" spans="1:19" ht="13.5" customHeight="1" x14ac:dyDescent="0.15">
      <c r="A271" s="31" t="s">
        <v>121</v>
      </c>
      <c r="B271" s="36" t="s">
        <v>79</v>
      </c>
      <c r="C271" s="36" t="s">
        <v>80</v>
      </c>
      <c r="D271" s="36" t="s">
        <v>76</v>
      </c>
    </row>
    <row r="272" spans="1:19" ht="13.5" customHeight="1" x14ac:dyDescent="0.15">
      <c r="A272" s="31" t="s">
        <v>122</v>
      </c>
      <c r="B272" s="37">
        <f>Segment!X44</f>
        <v>162361</v>
      </c>
      <c r="C272" s="37">
        <f>Segment!X45</f>
        <v>31376</v>
      </c>
      <c r="D272" s="37">
        <f>Segment!X9</f>
        <v>22201</v>
      </c>
    </row>
    <row r="273" spans="1:19" ht="13.5" customHeight="1" x14ac:dyDescent="0.15">
      <c r="A273" s="31" t="s">
        <v>123</v>
      </c>
      <c r="B273" s="37">
        <f>Segment!AA44</f>
        <v>695358.1757322984</v>
      </c>
      <c r="C273" s="37">
        <f>Segment!AA45</f>
        <v>187746.70744772055</v>
      </c>
      <c r="D273" s="37">
        <f>Segment!AA9</f>
        <v>39389.843357983998</v>
      </c>
    </row>
    <row r="275" spans="1:19" ht="13.5" customHeight="1" x14ac:dyDescent="0.15">
      <c r="A275" s="35" t="s">
        <v>124</v>
      </c>
      <c r="B275" s="15"/>
      <c r="C275" s="15"/>
      <c r="D275" s="15"/>
      <c r="E275" s="15"/>
      <c r="F275" s="15"/>
      <c r="G275" s="15"/>
      <c r="H275" s="15"/>
      <c r="I275" s="15"/>
      <c r="J275" s="15"/>
      <c r="K275" s="15"/>
      <c r="L275" s="15"/>
      <c r="M275" s="15"/>
      <c r="N275" s="15"/>
      <c r="O275" s="15"/>
      <c r="P275" s="15"/>
      <c r="Q275" s="15"/>
      <c r="R275" s="15"/>
      <c r="S275" s="15"/>
    </row>
    <row r="276" spans="1:19" ht="13.5" customHeight="1" x14ac:dyDescent="0.15">
      <c r="A276" s="31" t="s">
        <v>125</v>
      </c>
      <c r="B276" s="31" t="s">
        <v>126</v>
      </c>
    </row>
    <row r="277" spans="1:19" ht="13.5" customHeight="1" x14ac:dyDescent="0.15">
      <c r="A277" s="31" t="s">
        <v>127</v>
      </c>
      <c r="B277" s="49">
        <v>8.0399999999999991</v>
      </c>
    </row>
    <row r="278" spans="1:19" ht="13.5" customHeight="1" x14ac:dyDescent="0.15">
      <c r="A278" s="31" t="s">
        <v>128</v>
      </c>
      <c r="B278" s="49">
        <v>6.95</v>
      </c>
    </row>
    <row r="279" spans="1:19" ht="13.5" customHeight="1" x14ac:dyDescent="0.15">
      <c r="A279" s="31" t="s">
        <v>129</v>
      </c>
      <c r="B279" s="49">
        <v>4.18</v>
      </c>
    </row>
    <row r="280" spans="1:19" ht="13.5" customHeight="1" x14ac:dyDescent="0.15">
      <c r="A280" s="31" t="s">
        <v>130</v>
      </c>
      <c r="B280" s="49">
        <v>3.88</v>
      </c>
    </row>
    <row r="281" spans="1:19" ht="13.5" customHeight="1" x14ac:dyDescent="0.15">
      <c r="A281" s="31" t="s">
        <v>131</v>
      </c>
      <c r="B281" s="49">
        <v>3.56</v>
      </c>
    </row>
    <row r="282" spans="1:19" ht="13.5" customHeight="1" x14ac:dyDescent="0.15">
      <c r="A282" s="31" t="s">
        <v>132</v>
      </c>
      <c r="B282" s="49">
        <v>73.39</v>
      </c>
    </row>
    <row r="283" spans="1:19" ht="13.5" customHeight="1" x14ac:dyDescent="0.15">
      <c r="A283" s="24" t="s">
        <v>133</v>
      </c>
    </row>
    <row r="285" spans="1:19" ht="13.5" customHeight="1" x14ac:dyDescent="0.15">
      <c r="A285" s="35" t="s">
        <v>134</v>
      </c>
      <c r="B285" s="15"/>
      <c r="C285" s="15"/>
      <c r="D285" s="15"/>
      <c r="E285" s="15"/>
      <c r="F285" s="15"/>
      <c r="G285" s="15"/>
      <c r="H285" s="15"/>
      <c r="I285" s="15"/>
      <c r="J285" s="15"/>
      <c r="K285" s="15"/>
      <c r="L285" s="15"/>
      <c r="M285" s="15"/>
      <c r="N285" s="15"/>
      <c r="O285" s="15"/>
      <c r="P285" s="15"/>
      <c r="Q285" s="15"/>
      <c r="R285" s="15"/>
      <c r="S285" s="15"/>
    </row>
    <row r="286" spans="1:19" ht="13.5" customHeight="1" x14ac:dyDescent="0.15">
      <c r="A286" s="31" t="s">
        <v>74</v>
      </c>
      <c r="B286" s="36" t="str">
        <f>IS!W5</f>
        <v>FY2025A</v>
      </c>
      <c r="C286" s="36" t="str">
        <f>IS!X5</f>
        <v>FY2026A</v>
      </c>
      <c r="D286" s="36" t="str">
        <f>IS!Y5</f>
        <v>FY2027E</v>
      </c>
      <c r="E286" s="36" t="str">
        <f>IS!Z5</f>
        <v>FY2028E</v>
      </c>
      <c r="F286" s="36" t="str">
        <f>IS!AA5</f>
        <v>FY2029E</v>
      </c>
    </row>
    <row r="287" spans="1:19" ht="13.5" customHeight="1" x14ac:dyDescent="0.15">
      <c r="A287" s="31" t="s">
        <v>135</v>
      </c>
      <c r="B287" s="37">
        <f>IS!W7</f>
        <v>130497</v>
      </c>
      <c r="C287" s="37">
        <f>IS!X7</f>
        <v>215938</v>
      </c>
      <c r="D287" s="37">
        <f>IS!Y7</f>
        <v>406691.77627848001</v>
      </c>
      <c r="E287" s="37">
        <f>IS!Z7</f>
        <v>691376.01967341616</v>
      </c>
      <c r="F287" s="37">
        <f>IS!AA7</f>
        <v>922494.72653800296</v>
      </c>
    </row>
    <row r="288" spans="1:19" ht="13.5" customHeight="1" x14ac:dyDescent="0.15">
      <c r="A288" s="31" t="s">
        <v>136</v>
      </c>
      <c r="B288" s="37">
        <f>IS!W9</f>
        <v>97859</v>
      </c>
      <c r="C288" s="37">
        <f>IS!X9</f>
        <v>153463</v>
      </c>
      <c r="D288" s="37">
        <f>IS!Y9</f>
        <v>299671.64063957322</v>
      </c>
      <c r="E288" s="37">
        <f>IS!Z9</f>
        <v>501530.05009300017</v>
      </c>
      <c r="F288" s="37">
        <f>IS!AA9</f>
        <v>672498.65564620413</v>
      </c>
    </row>
    <row r="289" spans="1:6" ht="13.5" customHeight="1" x14ac:dyDescent="0.15">
      <c r="A289" s="31" t="s">
        <v>137</v>
      </c>
      <c r="B289" s="37">
        <f>IS!W13</f>
        <v>81454</v>
      </c>
      <c r="C289" s="37">
        <f>IS!X13</f>
        <v>130387</v>
      </c>
      <c r="D289" s="37">
        <f>IS!Y13</f>
        <v>264412.64063957322</v>
      </c>
      <c r="E289" s="37">
        <f>IS!Z13</f>
        <v>451210.05009300023</v>
      </c>
      <c r="F289" s="37">
        <f>IS!AA13</f>
        <v>608598.65564620413</v>
      </c>
    </row>
    <row r="290" spans="1:6" ht="13.5" customHeight="1" x14ac:dyDescent="0.15">
      <c r="A290" s="31" t="s">
        <v>85</v>
      </c>
      <c r="B290" s="37">
        <f>IS!W22</f>
        <v>72880</v>
      </c>
      <c r="C290" s="37">
        <f>IS!X22</f>
        <v>120067</v>
      </c>
      <c r="D290" s="37">
        <f>IS!Y22</f>
        <v>239830.11363137202</v>
      </c>
      <c r="E290" s="37">
        <f>IS!Z22</f>
        <v>377584.20771304588</v>
      </c>
      <c r="F290" s="37">
        <f>IS!AA22</f>
        <v>513866.1480805038</v>
      </c>
    </row>
    <row r="291" spans="1:6" ht="13.5" customHeight="1" x14ac:dyDescent="0.15">
      <c r="A291" s="31" t="s">
        <v>138</v>
      </c>
      <c r="B291" s="50">
        <f>IS!W33</f>
        <v>2.9381765405470781</v>
      </c>
      <c r="C291" s="50">
        <f>IS!X33</f>
        <v>4.8977951824430441</v>
      </c>
      <c r="D291" s="50">
        <f>IS!Y33</f>
        <v>9.8906276344757238</v>
      </c>
      <c r="E291" s="50">
        <f>IS!Z33</f>
        <v>15.863756184801911</v>
      </c>
      <c r="F291" s="50">
        <f>IS!AA33</f>
        <v>22.236078845696429</v>
      </c>
    </row>
  </sheetData>
  <mergeCells count="81">
    <mergeCell ref="A161:I161"/>
    <mergeCell ref="A162:I162"/>
    <mergeCell ref="A187:S187"/>
    <mergeCell ref="A188:S188"/>
    <mergeCell ref="M153:N153"/>
    <mergeCell ref="O153:P153"/>
    <mergeCell ref="Q153:R153"/>
    <mergeCell ref="M154:N154"/>
    <mergeCell ref="O154:P154"/>
    <mergeCell ref="Q154:R154"/>
    <mergeCell ref="M151:N151"/>
    <mergeCell ref="O151:P151"/>
    <mergeCell ref="Q151:R151"/>
    <mergeCell ref="M152:N152"/>
    <mergeCell ref="O152:P152"/>
    <mergeCell ref="Q152:R152"/>
    <mergeCell ref="M149:N149"/>
    <mergeCell ref="O149:P149"/>
    <mergeCell ref="Q149:R149"/>
    <mergeCell ref="M150:N150"/>
    <mergeCell ref="O150:P150"/>
    <mergeCell ref="Q150:R150"/>
    <mergeCell ref="M145:N145"/>
    <mergeCell ref="O145:P145"/>
    <mergeCell ref="Q145:R145"/>
    <mergeCell ref="M148:N148"/>
    <mergeCell ref="O148:P148"/>
    <mergeCell ref="Q148:R148"/>
    <mergeCell ref="M143:N143"/>
    <mergeCell ref="O143:P143"/>
    <mergeCell ref="Q143:R143"/>
    <mergeCell ref="M144:N144"/>
    <mergeCell ref="O144:P144"/>
    <mergeCell ref="Q144:R144"/>
    <mergeCell ref="M141:N141"/>
    <mergeCell ref="O141:P141"/>
    <mergeCell ref="Q141:R141"/>
    <mergeCell ref="M142:N142"/>
    <mergeCell ref="O142:P142"/>
    <mergeCell ref="Q142:R142"/>
    <mergeCell ref="M139:N139"/>
    <mergeCell ref="O139:P139"/>
    <mergeCell ref="Q139:R139"/>
    <mergeCell ref="M140:N140"/>
    <mergeCell ref="O140:P140"/>
    <mergeCell ref="Q140:R140"/>
    <mergeCell ref="A113:I113"/>
    <mergeCell ref="K113:S113"/>
    <mergeCell ref="A136:I136"/>
    <mergeCell ref="K136:S136"/>
    <mergeCell ref="A137:I137"/>
    <mergeCell ref="K137:S137"/>
    <mergeCell ref="A59:I59"/>
    <mergeCell ref="K59:S59"/>
    <mergeCell ref="A82:I82"/>
    <mergeCell ref="A83:I83"/>
    <mergeCell ref="A112:I112"/>
    <mergeCell ref="K112:S112"/>
    <mergeCell ref="A33:I33"/>
    <mergeCell ref="K33:S33"/>
    <mergeCell ref="A34:I34"/>
    <mergeCell ref="K34:S34"/>
    <mergeCell ref="A58:I58"/>
    <mergeCell ref="K58:S58"/>
    <mergeCell ref="A12:S12"/>
    <mergeCell ref="A18:I18"/>
    <mergeCell ref="A20:F28"/>
    <mergeCell ref="H20:L28"/>
    <mergeCell ref="N20:S28"/>
    <mergeCell ref="A11:C11"/>
    <mergeCell ref="E11:G11"/>
    <mergeCell ref="I11:K11"/>
    <mergeCell ref="M11:O11"/>
    <mergeCell ref="Q11:S11"/>
    <mergeCell ref="A3:S3"/>
    <mergeCell ref="A4:S4"/>
    <mergeCell ref="A9:C10"/>
    <mergeCell ref="E9:G10"/>
    <mergeCell ref="I9:K10"/>
    <mergeCell ref="M9:O10"/>
    <mergeCell ref="Q9:S10"/>
  </mergeCells>
  <phoneticPr fontId="61" type="noConversion"/>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zoomScale="150" zoomScaleNormal="150" workbookViewId="0">
      <pane xSplit="1" ySplit="5" topLeftCell="B6" activePane="bottomRight" state="frozen"/>
      <selection pane="topRight" activeCell="B1" sqref="B1"/>
      <selection pane="bottomLeft" activeCell="A6" sqref="A6"/>
      <selection pane="bottomRight" activeCell="A11" sqref="A11"/>
    </sheetView>
  </sheetViews>
  <sheetFormatPr baseColWidth="10" defaultColWidth="8.6640625" defaultRowHeight="14" x14ac:dyDescent="0.15"/>
  <cols>
    <col min="1" max="1" width="42" customWidth="1"/>
    <col min="2" max="13" width="9.5" customWidth="1"/>
    <col min="14" max="14" width="60" customWidth="1"/>
  </cols>
  <sheetData>
    <row r="1" spans="1:14" ht="21.75" customHeight="1" x14ac:dyDescent="0.2">
      <c r="A1" s="68" t="s">
        <v>211</v>
      </c>
      <c r="B1" s="69"/>
      <c r="C1" s="69"/>
      <c r="D1" s="69"/>
      <c r="E1" s="69"/>
      <c r="F1" s="69"/>
      <c r="G1" s="69"/>
      <c r="H1" s="69"/>
      <c r="I1" s="69"/>
      <c r="J1" s="69"/>
      <c r="K1" s="69"/>
      <c r="L1" s="69"/>
      <c r="M1" s="69"/>
      <c r="N1" s="69"/>
    </row>
    <row r="2" spans="1:14" ht="15" customHeight="1" x14ac:dyDescent="0.15">
      <c r="A2" s="55" t="s">
        <v>212</v>
      </c>
    </row>
    <row r="3" spans="1:14" ht="15" customHeight="1" x14ac:dyDescent="0.15">
      <c r="A3" s="55" t="s">
        <v>213</v>
      </c>
    </row>
    <row r="5" spans="1:14" ht="15" customHeight="1" x14ac:dyDescent="0.15">
      <c r="A5" s="59" t="s">
        <v>214</v>
      </c>
      <c r="B5" s="70"/>
      <c r="C5" s="70"/>
      <c r="D5" s="70"/>
      <c r="E5" s="70"/>
      <c r="F5" s="70"/>
      <c r="G5" s="70"/>
      <c r="H5" s="70"/>
      <c r="I5" s="70"/>
      <c r="J5" s="70"/>
      <c r="K5" s="70"/>
      <c r="L5" s="70"/>
      <c r="M5" s="70"/>
      <c r="N5" s="70"/>
    </row>
    <row r="6" spans="1:14" ht="15" customHeight="1" x14ac:dyDescent="0.15">
      <c r="A6" s="54" t="s">
        <v>215</v>
      </c>
      <c r="B6" s="71" t="str">
        <f>Assumptions!M4</f>
        <v>2026-10-25</v>
      </c>
      <c r="C6" s="71" t="str">
        <f>Assumptions!N4</f>
        <v>2027-01-31</v>
      </c>
      <c r="D6" s="71" t="str">
        <f>Assumptions!O4</f>
        <v>2027-05-02</v>
      </c>
      <c r="E6" s="71" t="str">
        <f>Assumptions!P4</f>
        <v>2027-08-01</v>
      </c>
      <c r="F6" s="71" t="str">
        <f>Assumptions!Q4</f>
        <v>2027-10-31</v>
      </c>
      <c r="G6" s="71" t="str">
        <f>Assumptions!R4</f>
        <v>2028-01-30</v>
      </c>
      <c r="H6" s="71" t="str">
        <f>Assumptions!S4</f>
        <v>2028-04-30</v>
      </c>
      <c r="I6" s="71" t="str">
        <f>Assumptions!T4</f>
        <v>2028-07-30</v>
      </c>
      <c r="J6" s="71" t="str">
        <f>Assumptions!U4</f>
        <v>2028-10-29</v>
      </c>
      <c r="K6" s="71" t="str">
        <f>Assumptions!V4</f>
        <v>2029-01-28</v>
      </c>
      <c r="L6" s="72"/>
      <c r="M6" s="72"/>
      <c r="N6" s="69"/>
    </row>
    <row r="7" spans="1:14" ht="15" customHeight="1" x14ac:dyDescent="0.15">
      <c r="A7" s="73" t="s">
        <v>216</v>
      </c>
      <c r="B7" s="74" t="str">
        <f>Assumptions!M5</f>
        <v>Q3FY27E</v>
      </c>
      <c r="C7" s="74" t="str">
        <f>Assumptions!N5</f>
        <v>Q4FY27E</v>
      </c>
      <c r="D7" s="74" t="str">
        <f>Assumptions!O5</f>
        <v>Q1FY28E</v>
      </c>
      <c r="E7" s="74" t="str">
        <f>Assumptions!P5</f>
        <v>Q2FY28E</v>
      </c>
      <c r="F7" s="74" t="str">
        <f>Assumptions!Q5</f>
        <v>Q3FY28E</v>
      </c>
      <c r="G7" s="74" t="str">
        <f>Assumptions!R5</f>
        <v>Q4FY28E</v>
      </c>
      <c r="H7" s="74" t="str">
        <f>Assumptions!S5</f>
        <v>Q1FY29E</v>
      </c>
      <c r="I7" s="74" t="str">
        <f>Assumptions!T5</f>
        <v>Q2FY29E</v>
      </c>
      <c r="J7" s="74" t="str">
        <f>Assumptions!U5</f>
        <v>Q3FY29E</v>
      </c>
      <c r="K7" s="74" t="str">
        <f>Assumptions!V5</f>
        <v>Q4FY29E</v>
      </c>
      <c r="L7" s="75"/>
      <c r="M7" s="75"/>
      <c r="N7" s="69"/>
    </row>
    <row r="8" spans="1:14" ht="15" customHeight="1" x14ac:dyDescent="0.15">
      <c r="A8" s="57" t="s">
        <v>217</v>
      </c>
      <c r="B8" s="76">
        <f>Assumptions!M8</f>
        <v>0.14988164535558066</v>
      </c>
      <c r="C8" s="76">
        <f>Assumptions!N8</f>
        <v>9.5494583601086661E-2</v>
      </c>
      <c r="D8" s="76">
        <f>Assumptions!O8</f>
        <v>0.19766912005348752</v>
      </c>
      <c r="E8" s="76">
        <f>Assumptions!P8</f>
        <v>0.15230131607649253</v>
      </c>
      <c r="F8" s="76">
        <f>Assumptions!Q8</f>
        <v>0.11818403627888964</v>
      </c>
      <c r="G8" s="76">
        <f>Assumptions!R8</f>
        <v>9.1701528923132603E-2</v>
      </c>
      <c r="H8" s="76">
        <f>Assumptions!S8</f>
        <v>6.6685949427647148E-2</v>
      </c>
      <c r="I8" s="76">
        <f>Assumptions!T8</f>
        <v>5.5211906059916667E-2</v>
      </c>
      <c r="J8" s="76">
        <f>Assumptions!U8</f>
        <v>4.2844531952371298E-2</v>
      </c>
      <c r="K8" s="76">
        <f>Assumptions!V8</f>
        <v>3.3243482568821862E-2</v>
      </c>
      <c r="L8" s="76"/>
      <c r="M8" s="76"/>
      <c r="N8" s="58" t="s">
        <v>218</v>
      </c>
    </row>
    <row r="9" spans="1:14" ht="15" customHeight="1" x14ac:dyDescent="0.15">
      <c r="A9" s="57" t="s">
        <v>219</v>
      </c>
      <c r="B9" s="76">
        <f>Assumptions!M9</f>
        <v>0.13079771864406764</v>
      </c>
      <c r="C9" s="76">
        <f>Assumptions!N9</f>
        <v>7.2671779776063969E-2</v>
      </c>
      <c r="D9" s="76">
        <f>Assumptions!O9</f>
        <v>0.29959840686654965</v>
      </c>
      <c r="E9" s="76">
        <f>Assumptions!P9</f>
        <v>0.15230131607649236</v>
      </c>
      <c r="F9" s="76">
        <f>Assumptions!Q9</f>
        <v>0.11818403627888964</v>
      </c>
      <c r="G9" s="76">
        <f>Assumptions!R9</f>
        <v>9.1701528923132755E-2</v>
      </c>
      <c r="H9" s="76">
        <f>Assumptions!S9</f>
        <v>0.12943218174692089</v>
      </c>
      <c r="I9" s="76">
        <f>Assumptions!T9</f>
        <v>5.5211906059916667E-2</v>
      </c>
      <c r="J9" s="76">
        <f>Assumptions!U9</f>
        <v>4.2844531952371381E-2</v>
      </c>
      <c r="K9" s="76">
        <f>Assumptions!V9</f>
        <v>3.3243482568821758E-2</v>
      </c>
      <c r="L9" s="76"/>
      <c r="M9" s="76"/>
      <c r="N9" s="58" t="s">
        <v>220</v>
      </c>
    </row>
    <row r="10" spans="1:14" ht="15" customHeight="1" x14ac:dyDescent="0.15">
      <c r="A10" s="57" t="s">
        <v>221</v>
      </c>
      <c r="B10" s="76">
        <f>Assumptions!M10</f>
        <v>5.5542095026396274E-2</v>
      </c>
      <c r="C10" s="76">
        <f>Assumptions!N10</f>
        <v>3.9758261347507248E-2</v>
      </c>
      <c r="D10" s="76">
        <f>Assumptions!O10</f>
        <v>3.7600126685677117E-2</v>
      </c>
      <c r="E10" s="76">
        <f>Assumptions!P10</f>
        <v>3.7079248101386519E-2</v>
      </c>
      <c r="F10" s="76">
        <f>Assumptions!Q10</f>
        <v>3.498539038151291E-2</v>
      </c>
      <c r="G10" s="76">
        <f>Assumptions!R10</f>
        <v>3.4370912843115997E-2</v>
      </c>
      <c r="H10" s="76">
        <f>Assumptions!S10</f>
        <v>3.2195959359189313E-2</v>
      </c>
      <c r="I10" s="76">
        <f>Assumptions!T10</f>
        <v>3.2554469532008752E-2</v>
      </c>
      <c r="J10" s="76">
        <f>Assumptions!U10</f>
        <v>3.0449959222961266E-2</v>
      </c>
      <c r="K10" s="76">
        <f>Assumptions!V10</f>
        <v>3.0728761741555848E-2</v>
      </c>
      <c r="L10" s="76"/>
      <c r="M10" s="76"/>
      <c r="N10" s="58" t="s">
        <v>222</v>
      </c>
    </row>
    <row r="11" spans="1:14" ht="15" customHeight="1" x14ac:dyDescent="0.15">
      <c r="A11" s="57" t="s">
        <v>223</v>
      </c>
      <c r="B11" s="76">
        <f>Assumptions!M34</f>
        <v>0.74</v>
      </c>
      <c r="C11" s="76">
        <f>Assumptions!N34</f>
        <v>0.71499999999999997</v>
      </c>
      <c r="D11" s="76">
        <f>Assumptions!O34</f>
        <v>0.72</v>
      </c>
      <c r="E11" s="76">
        <f>Assumptions!P34</f>
        <v>0.72399999999999998</v>
      </c>
      <c r="F11" s="76">
        <f>Assumptions!Q34</f>
        <v>0.72699999999999998</v>
      </c>
      <c r="G11" s="76">
        <f>Assumptions!R34</f>
        <v>0.72899999999999998</v>
      </c>
      <c r="H11" s="76">
        <f>Assumptions!S34</f>
        <v>0.72899999999999998</v>
      </c>
      <c r="I11" s="76">
        <f>Assumptions!T34</f>
        <v>0.72899999999999998</v>
      </c>
      <c r="J11" s="76">
        <f>Assumptions!U34</f>
        <v>0.72899999999999998</v>
      </c>
      <c r="K11" s="76">
        <f>Assumptions!V34</f>
        <v>0.72899999999999998</v>
      </c>
      <c r="L11" s="76"/>
      <c r="M11" s="76"/>
      <c r="N11" s="58" t="s">
        <v>224</v>
      </c>
    </row>
    <row r="12" spans="1:14" ht="15" customHeight="1" x14ac:dyDescent="0.15">
      <c r="A12" s="57" t="s">
        <v>225</v>
      </c>
      <c r="B12" s="77">
        <f>Assumptions!M35</f>
        <v>7850</v>
      </c>
      <c r="C12" s="77">
        <f>Assumptions!N35</f>
        <v>8600</v>
      </c>
      <c r="D12" s="77">
        <f>Assumptions!O35</f>
        <v>9600</v>
      </c>
      <c r="E12" s="77">
        <f>Assumptions!P35</f>
        <v>10500</v>
      </c>
      <c r="F12" s="77">
        <f>Assumptions!Q35</f>
        <v>11400</v>
      </c>
      <c r="G12" s="77">
        <f>Assumptions!R35</f>
        <v>12300</v>
      </c>
      <c r="H12" s="77">
        <f>Assumptions!S35</f>
        <v>13000</v>
      </c>
      <c r="I12" s="77">
        <f>Assumptions!T35</f>
        <v>13700</v>
      </c>
      <c r="J12" s="77">
        <f>Assumptions!U35</f>
        <v>14400</v>
      </c>
      <c r="K12" s="77">
        <f>Assumptions!V35</f>
        <v>15100</v>
      </c>
      <c r="L12" s="77"/>
      <c r="M12" s="77"/>
      <c r="N12" s="58" t="s">
        <v>226</v>
      </c>
    </row>
    <row r="13" spans="1:14" ht="15" customHeight="1" x14ac:dyDescent="0.15">
      <c r="A13" s="57" t="s">
        <v>227</v>
      </c>
      <c r="B13" s="77">
        <f>Assumptions!M36</f>
        <v>1350</v>
      </c>
      <c r="C13" s="77">
        <f>Assumptions!N36</f>
        <v>1430</v>
      </c>
      <c r="D13" s="77">
        <f>Assumptions!O36</f>
        <v>1510</v>
      </c>
      <c r="E13" s="77">
        <f>Assumptions!P36</f>
        <v>1590</v>
      </c>
      <c r="F13" s="77">
        <f>Assumptions!Q36</f>
        <v>1670</v>
      </c>
      <c r="G13" s="77">
        <f>Assumptions!R36</f>
        <v>1750</v>
      </c>
      <c r="H13" s="77">
        <f>Assumptions!S36</f>
        <v>1820</v>
      </c>
      <c r="I13" s="77">
        <f>Assumptions!T36</f>
        <v>1890</v>
      </c>
      <c r="J13" s="77">
        <f>Assumptions!U36</f>
        <v>1960</v>
      </c>
      <c r="K13" s="77">
        <f>Assumptions!V36</f>
        <v>2030</v>
      </c>
      <c r="L13" s="77"/>
      <c r="M13" s="77"/>
      <c r="N13" s="58" t="s">
        <v>228</v>
      </c>
    </row>
    <row r="14" spans="1:14" ht="15" customHeight="1" x14ac:dyDescent="0.15">
      <c r="A14" s="57" t="s">
        <v>229</v>
      </c>
      <c r="B14" s="76">
        <f>Assumptions!M40</f>
        <v>0.18</v>
      </c>
      <c r="C14" s="76">
        <f>Assumptions!N40</f>
        <v>0.17</v>
      </c>
      <c r="D14" s="76">
        <f>Assumptions!O40</f>
        <v>0.17</v>
      </c>
      <c r="E14" s="76">
        <f>Assumptions!P40</f>
        <v>0.17</v>
      </c>
      <c r="F14" s="76">
        <f>Assumptions!Q40</f>
        <v>0.17</v>
      </c>
      <c r="G14" s="76">
        <f>Assumptions!R40</f>
        <v>0.17</v>
      </c>
      <c r="H14" s="76">
        <f>Assumptions!S40</f>
        <v>0.17</v>
      </c>
      <c r="I14" s="76">
        <f>Assumptions!T40</f>
        <v>0.17</v>
      </c>
      <c r="J14" s="76">
        <f>Assumptions!U40</f>
        <v>0.17</v>
      </c>
      <c r="K14" s="76">
        <f>Assumptions!V40</f>
        <v>0.17</v>
      </c>
      <c r="L14" s="76"/>
      <c r="M14" s="76"/>
      <c r="N14" s="58" t="s">
        <v>230</v>
      </c>
    </row>
    <row r="15" spans="1:14" ht="15" customHeight="1" x14ac:dyDescent="0.15">
      <c r="A15" s="57" t="s">
        <v>231</v>
      </c>
      <c r="B15" s="76">
        <f>Assumptions!M52</f>
        <v>0.03</v>
      </c>
      <c r="C15" s="76">
        <f>Assumptions!N52</f>
        <v>0.03</v>
      </c>
      <c r="D15" s="76">
        <f>Assumptions!O52</f>
        <v>0.03</v>
      </c>
      <c r="E15" s="76">
        <f>Assumptions!P52</f>
        <v>0.03</v>
      </c>
      <c r="F15" s="76">
        <f>Assumptions!Q52</f>
        <v>0.03</v>
      </c>
      <c r="G15" s="76">
        <f>Assumptions!R52</f>
        <v>0.03</v>
      </c>
      <c r="H15" s="76">
        <f>Assumptions!S52</f>
        <v>0.03</v>
      </c>
      <c r="I15" s="76">
        <f>Assumptions!T52</f>
        <v>0.03</v>
      </c>
      <c r="J15" s="76">
        <f>Assumptions!U52</f>
        <v>0.03</v>
      </c>
      <c r="K15" s="76">
        <f>Assumptions!V52</f>
        <v>0.03</v>
      </c>
      <c r="L15" s="76"/>
      <c r="M15" s="76"/>
      <c r="N15" s="58" t="s">
        <v>232</v>
      </c>
    </row>
    <row r="16" spans="1:14" ht="15" customHeight="1" x14ac:dyDescent="0.15">
      <c r="A16" s="57" t="s">
        <v>233</v>
      </c>
      <c r="B16" s="77">
        <f>Assumptions!M42</f>
        <v>24203.463296480779</v>
      </c>
      <c r="C16" s="77">
        <f>Assumptions!N42</f>
        <v>24113.416223276723</v>
      </c>
      <c r="D16" s="77">
        <f>Assumptions!O42</f>
        <v>24011.337723003126</v>
      </c>
      <c r="E16" s="77">
        <f>Assumptions!P42</f>
        <v>23883.995370144319</v>
      </c>
      <c r="F16" s="77">
        <f>Assumptions!Q42</f>
        <v>23737.135804855225</v>
      </c>
      <c r="G16" s="77">
        <f>Assumptions!R42</f>
        <v>23574.29129534576</v>
      </c>
      <c r="H16" s="77">
        <f>Assumptions!S42</f>
        <v>23393.884835982684</v>
      </c>
      <c r="I16" s="77">
        <f>Assumptions!T42</f>
        <v>23208.096105727684</v>
      </c>
      <c r="J16" s="77">
        <f>Assumptions!U42</f>
        <v>23016.055199415536</v>
      </c>
      <c r="K16" s="77">
        <f>Assumptions!V42</f>
        <v>22820.230811674985</v>
      </c>
      <c r="L16" s="77"/>
      <c r="M16" s="77"/>
      <c r="N16" s="58" t="s">
        <v>234</v>
      </c>
    </row>
    <row r="18" spans="1:14" ht="15" customHeight="1" x14ac:dyDescent="0.15">
      <c r="A18" s="59" t="s">
        <v>235</v>
      </c>
      <c r="B18" s="70"/>
      <c r="C18" s="70"/>
      <c r="D18" s="70"/>
      <c r="E18" s="70"/>
      <c r="F18" s="70"/>
      <c r="G18" s="70"/>
      <c r="H18" s="70"/>
      <c r="I18" s="70"/>
      <c r="J18" s="70"/>
      <c r="K18" s="70"/>
      <c r="L18" s="70"/>
      <c r="M18" s="70"/>
      <c r="N18" s="70"/>
    </row>
    <row r="19" spans="1:14" ht="15" customHeight="1" x14ac:dyDescent="0.15">
      <c r="A19" s="73" t="s">
        <v>216</v>
      </c>
      <c r="B19" s="74" t="str">
        <f>Segment!H5</f>
        <v>Q3FY26A</v>
      </c>
      <c r="C19" s="74" t="str">
        <f>Segment!I5</f>
        <v>Q4FY26A</v>
      </c>
      <c r="D19" s="74" t="str">
        <f>Segment!J5</f>
        <v>Q1FY27A</v>
      </c>
      <c r="E19" s="74" t="str">
        <f>Segment!K5</f>
        <v>Q2FY27A</v>
      </c>
      <c r="F19" s="74" t="str">
        <f>Segment!L5</f>
        <v>Q3FY27E</v>
      </c>
      <c r="G19" s="74" t="str">
        <f>Segment!M5</f>
        <v>Q4FY27E</v>
      </c>
      <c r="H19" s="69"/>
      <c r="I19" s="74" t="s">
        <v>236</v>
      </c>
      <c r="J19" s="74" t="s">
        <v>237</v>
      </c>
      <c r="K19" s="74" t="s">
        <v>238</v>
      </c>
      <c r="L19" s="69"/>
      <c r="M19" s="69"/>
      <c r="N19" s="69"/>
    </row>
    <row r="20" spans="1:14" ht="15" customHeight="1" x14ac:dyDescent="0.15">
      <c r="A20" s="57" t="s">
        <v>239</v>
      </c>
      <c r="B20" s="77">
        <f>Segment!H55</f>
        <v>50908</v>
      </c>
      <c r="C20" s="77">
        <f>Segment!I55</f>
        <v>61651</v>
      </c>
      <c r="D20" s="77">
        <f>Segment!J55</f>
        <v>74550</v>
      </c>
      <c r="E20" s="77">
        <f>Segment!K55</f>
        <v>88299</v>
      </c>
      <c r="F20" s="77">
        <f>Segment!L55</f>
        <v>101202.82819712548</v>
      </c>
      <c r="G20" s="77">
        <f>Segment!M55</f>
        <v>110420.10517484025</v>
      </c>
      <c r="I20" s="77">
        <f>Segment!Y55</f>
        <v>374471.93337196572</v>
      </c>
      <c r="J20" s="77">
        <f>Segment!Z55</f>
        <v>651437.979483256</v>
      </c>
      <c r="K20" s="77">
        <f>Segment!AA55</f>
        <v>875922.8298295103</v>
      </c>
    </row>
    <row r="21" spans="1:14" ht="15" customHeight="1" x14ac:dyDescent="0.15">
      <c r="A21" s="57" t="s">
        <v>240</v>
      </c>
      <c r="B21" s="77">
        <f>Segment!H56</f>
        <v>6098</v>
      </c>
      <c r="C21" s="77">
        <f>Segment!I56</f>
        <v>6476</v>
      </c>
      <c r="D21" s="77">
        <f>Segment!J56</f>
        <v>7065</v>
      </c>
      <c r="E21" s="77">
        <f>Segment!K56</f>
        <v>7922</v>
      </c>
      <c r="F21" s="77">
        <f>Segment!L56</f>
        <v>8414.9838839999993</v>
      </c>
      <c r="G21" s="77">
        <f>Segment!M56</f>
        <v>8787.983807999999</v>
      </c>
      <c r="I21" s="77">
        <f>Segment!Y56</f>
        <v>32189.967691999998</v>
      </c>
      <c r="J21" s="77">
        <f>Segment!Z56</f>
        <v>39634.211158754493</v>
      </c>
      <c r="K21" s="77">
        <f>Segment!AA56</f>
        <v>46171.300579571878</v>
      </c>
    </row>
    <row r="22" spans="1:14" ht="15" customHeight="1" x14ac:dyDescent="0.15">
      <c r="A22" s="57" t="s">
        <v>135</v>
      </c>
      <c r="B22" s="77">
        <f>IS!H7</f>
        <v>57006</v>
      </c>
      <c r="C22" s="77">
        <f>IS!I7</f>
        <v>68127</v>
      </c>
      <c r="D22" s="77">
        <f>IS!J7</f>
        <v>81615</v>
      </c>
      <c r="E22" s="77">
        <f>IS!K7</f>
        <v>96221</v>
      </c>
      <c r="F22" s="77">
        <f>IS!L7</f>
        <v>109630.42401839999</v>
      </c>
      <c r="G22" s="77">
        <f>IS!M7</f>
        <v>119225.35226007999</v>
      </c>
      <c r="I22" s="77">
        <f>IS!Y7</f>
        <v>406691.77627848001</v>
      </c>
      <c r="J22" s="77">
        <f>IS!Z7</f>
        <v>691376.01967341616</v>
      </c>
      <c r="K22" s="77">
        <f>IS!AA7</f>
        <v>922494.72653800296</v>
      </c>
    </row>
    <row r="23" spans="1:14" ht="15" customHeight="1" x14ac:dyDescent="0.15">
      <c r="A23" s="78" t="s">
        <v>241</v>
      </c>
      <c r="B23" s="77"/>
      <c r="C23" s="79">
        <f>Segment!H65</f>
        <v>0.62493586454592098</v>
      </c>
      <c r="D23" s="79">
        <f>Segment!I65</f>
        <v>0.7321451272533116</v>
      </c>
      <c r="E23" s="79">
        <f>Segment!J65</f>
        <v>0.85227633788752211</v>
      </c>
      <c r="F23" s="79">
        <f>Segment!K65</f>
        <v>1.0585114348672529</v>
      </c>
      <c r="G23" s="79">
        <f>Segment!L65</f>
        <v>0.92313833663824851</v>
      </c>
      <c r="I23" s="79">
        <f>Segment!Y65</f>
        <v>0.88337289536107566</v>
      </c>
      <c r="J23" s="79">
        <f>Segment!Z65</f>
        <v>0.70000000000000084</v>
      </c>
      <c r="K23" s="79">
        <f>Segment!AA65</f>
        <v>0.33428799999999959</v>
      </c>
    </row>
    <row r="24" spans="1:14" s="82" customFormat="1" ht="15" customHeight="1" x14ac:dyDescent="0.15">
      <c r="A24" s="80" t="s">
        <v>242</v>
      </c>
      <c r="B24" s="81"/>
      <c r="C24" s="81"/>
      <c r="D24" s="81"/>
      <c r="E24" s="81"/>
      <c r="F24" s="81"/>
      <c r="G24" s="81"/>
      <c r="I24" s="83">
        <f>Consensus!F90</f>
        <v>-4.9415503123719784E-3</v>
      </c>
      <c r="J24" s="83">
        <f>Consensus!G90</f>
        <v>1.4170862011644303E-3</v>
      </c>
      <c r="K24" s="83">
        <f>Consensus!H90</f>
        <v>-1.0325391274813467E-2</v>
      </c>
      <c r="N24" s="80" t="s">
        <v>243</v>
      </c>
    </row>
    <row r="25" spans="1:14" ht="15" customHeight="1" x14ac:dyDescent="0.15">
      <c r="A25" s="57" t="s">
        <v>136</v>
      </c>
      <c r="B25" s="77">
        <f>IS!H9</f>
        <v>41849</v>
      </c>
      <c r="C25" s="77">
        <f>IS!I9</f>
        <v>51093</v>
      </c>
      <c r="D25" s="77">
        <f>IS!J9</f>
        <v>61157</v>
      </c>
      <c r="E25" s="77">
        <f>IS!K9</f>
        <v>72142</v>
      </c>
      <c r="F25" s="77">
        <f>IS!L9</f>
        <v>81126.513773615996</v>
      </c>
      <c r="G25" s="77">
        <f>IS!M9</f>
        <v>85246.126865957194</v>
      </c>
      <c r="I25" s="84">
        <f>IS!Y9</f>
        <v>299671.64063957322</v>
      </c>
      <c r="J25" s="84">
        <f>IS!Z9</f>
        <v>501530.05009300017</v>
      </c>
      <c r="K25" s="84">
        <f>IS!AA9</f>
        <v>672498.65564620413</v>
      </c>
    </row>
    <row r="26" spans="1:14" ht="15" customHeight="1" x14ac:dyDescent="0.15">
      <c r="A26" s="57" t="s">
        <v>244</v>
      </c>
      <c r="B26" s="85">
        <f t="shared" ref="B26:G26" si="0">B25/B22</f>
        <v>0.7341157071185489</v>
      </c>
      <c r="C26" s="85">
        <f t="shared" si="0"/>
        <v>0.74996697344665109</v>
      </c>
      <c r="D26" s="85">
        <f t="shared" si="0"/>
        <v>0.74933529375727503</v>
      </c>
      <c r="E26" s="85">
        <f t="shared" si="0"/>
        <v>0.74975317238440675</v>
      </c>
      <c r="F26" s="85">
        <f t="shared" si="0"/>
        <v>0.74</v>
      </c>
      <c r="G26" s="85">
        <f t="shared" si="0"/>
        <v>0.71499999999999997</v>
      </c>
      <c r="I26" s="85">
        <f>I25/I22</f>
        <v>0.73685198009603881</v>
      </c>
      <c r="J26" s="85">
        <f>J25/J22</f>
        <v>0.72540851262082662</v>
      </c>
      <c r="K26" s="85">
        <f>K25/K22</f>
        <v>0.72899999999999998</v>
      </c>
    </row>
    <row r="27" spans="1:14" s="82" customFormat="1" ht="15" customHeight="1" x14ac:dyDescent="0.15">
      <c r="A27" s="80" t="s">
        <v>242</v>
      </c>
      <c r="B27" s="86"/>
      <c r="C27" s="86"/>
      <c r="D27" s="86"/>
      <c r="E27" s="86"/>
      <c r="F27" s="86"/>
      <c r="G27" s="86"/>
      <c r="I27" s="83">
        <f>Consensus!F73</f>
        <v>-1.6875276723097077E-2</v>
      </c>
      <c r="J27" s="83">
        <f>Consensus!G73</f>
        <v>-2.2689777540146006E-2</v>
      </c>
      <c r="K27" s="83" t="str">
        <f>Consensus!H73</f>
        <v>n.a.</v>
      </c>
      <c r="N27" s="80" t="s">
        <v>245</v>
      </c>
    </row>
    <row r="28" spans="1:14" ht="15" customHeight="1" x14ac:dyDescent="0.15">
      <c r="A28" s="57" t="s">
        <v>137</v>
      </c>
      <c r="B28" s="77">
        <f>IS!H13</f>
        <v>36010</v>
      </c>
      <c r="C28" s="77">
        <f>IS!I13</f>
        <v>44299</v>
      </c>
      <c r="D28" s="77">
        <f>IS!J13</f>
        <v>53536</v>
      </c>
      <c r="E28" s="77">
        <f>IS!K13</f>
        <v>63734</v>
      </c>
      <c r="F28" s="77">
        <f>IS!L13</f>
        <v>71926.513773615996</v>
      </c>
      <c r="G28" s="77">
        <f>IS!M13</f>
        <v>75216.126865957194</v>
      </c>
      <c r="I28" s="84">
        <f>IS!Y13</f>
        <v>264412.64063957322</v>
      </c>
      <c r="J28" s="84">
        <f>IS!Z13</f>
        <v>451210.05009300023</v>
      </c>
      <c r="K28" s="84">
        <f>IS!AA13</f>
        <v>608598.65564620413</v>
      </c>
    </row>
    <row r="29" spans="1:14" ht="15" customHeight="1" x14ac:dyDescent="0.15">
      <c r="A29" s="57" t="s">
        <v>246</v>
      </c>
      <c r="B29" s="77"/>
      <c r="C29" s="77"/>
      <c r="D29" s="77"/>
      <c r="E29" s="77"/>
      <c r="F29" s="77"/>
      <c r="G29" s="77"/>
      <c r="I29" s="85">
        <f>I28/I22</f>
        <v>0.65015487418786178</v>
      </c>
      <c r="J29" s="85">
        <f>J28/J22</f>
        <v>0.65262612131982445</v>
      </c>
      <c r="K29" s="85">
        <f>K28/K22</f>
        <v>0.6597313113433092</v>
      </c>
    </row>
    <row r="30" spans="1:14" ht="15" customHeight="1" x14ac:dyDescent="0.15">
      <c r="A30" s="58" t="s">
        <v>242</v>
      </c>
      <c r="I30" s="87" t="s">
        <v>247</v>
      </c>
      <c r="J30" s="87" t="s">
        <v>247</v>
      </c>
      <c r="K30" s="87" t="s">
        <v>247</v>
      </c>
      <c r="N30" s="58" t="s">
        <v>248</v>
      </c>
    </row>
    <row r="31" spans="1:14" ht="15" customHeight="1" x14ac:dyDescent="0.15">
      <c r="A31" s="57" t="s">
        <v>85</v>
      </c>
      <c r="B31" s="84">
        <f>IS!H22</f>
        <v>31910</v>
      </c>
      <c r="C31" s="84">
        <f>IS!I22</f>
        <v>42960</v>
      </c>
      <c r="D31" s="84">
        <f>IS!J22</f>
        <v>58321</v>
      </c>
      <c r="E31" s="84">
        <f>IS!K22</f>
        <v>59688</v>
      </c>
      <c r="F31" s="84">
        <f>IS!L22</f>
        <v>59108.64957364594</v>
      </c>
      <c r="G31" s="84">
        <f>IS!M22</f>
        <v>62712.464057726072</v>
      </c>
      <c r="I31" s="84">
        <f>IS!Y22</f>
        <v>239830.11363137202</v>
      </c>
      <c r="J31" s="84">
        <f>IS!Z22</f>
        <v>377584.20771304588</v>
      </c>
      <c r="K31" s="84">
        <f>IS!AA22</f>
        <v>513866.1480805038</v>
      </c>
    </row>
    <row r="32" spans="1:14" ht="15" customHeight="1" x14ac:dyDescent="0.15">
      <c r="A32" s="57" t="s">
        <v>249</v>
      </c>
      <c r="B32" s="88">
        <f>IS!H33</f>
        <v>1.3033533472205203</v>
      </c>
      <c r="C32" s="88">
        <f>IS!I33</f>
        <v>1.7583497053045187</v>
      </c>
      <c r="D32" s="88">
        <f>IS!J33</f>
        <v>2.3910868763068347</v>
      </c>
      <c r="E32" s="88">
        <f>IS!K33</f>
        <v>2.4578134651019146</v>
      </c>
      <c r="F32" s="88">
        <f>IS!L33</f>
        <v>2.4421566802070194</v>
      </c>
      <c r="G32" s="88">
        <f>IS!M33</f>
        <v>2.6007291325726638</v>
      </c>
      <c r="I32" s="89">
        <f>IS!Y33</f>
        <v>9.8906276344757238</v>
      </c>
      <c r="J32" s="89">
        <f>IS!Z33</f>
        <v>15.863756184801911</v>
      </c>
      <c r="K32" s="89">
        <f>IS!AA33</f>
        <v>22.236078845696429</v>
      </c>
    </row>
    <row r="33" spans="1:14" ht="15" customHeight="1" x14ac:dyDescent="0.15">
      <c r="A33" s="58"/>
      <c r="B33" s="90"/>
      <c r="C33" s="90"/>
      <c r="D33" s="90"/>
      <c r="E33" s="90"/>
      <c r="F33" s="90"/>
      <c r="G33" s="90"/>
      <c r="I33" s="85"/>
      <c r="J33" s="85"/>
      <c r="K33" s="85"/>
      <c r="N33" s="91"/>
    </row>
    <row r="34" spans="1:14" ht="13.5" customHeight="1" x14ac:dyDescent="0.15">
      <c r="A34" s="57" t="s">
        <v>250</v>
      </c>
      <c r="B34" s="84"/>
      <c r="C34" s="84">
        <f>IS!I47</f>
        <v>44474</v>
      </c>
      <c r="D34" s="84">
        <f>IS!J47</f>
        <v>53783</v>
      </c>
      <c r="E34" s="84">
        <f>IS!K47</f>
        <v>63956</v>
      </c>
      <c r="F34" s="84">
        <f>IS!L47</f>
        <v>71926.513773615996</v>
      </c>
      <c r="G34" s="84">
        <f>IS!M47</f>
        <v>75216.126865957194</v>
      </c>
      <c r="H34" s="84"/>
      <c r="I34" s="84">
        <f>IS!Y47</f>
        <v>264881.64063957322</v>
      </c>
      <c r="J34" s="84">
        <f>IS!Z47</f>
        <v>451210.05009300023</v>
      </c>
      <c r="K34" s="84">
        <f>IS!AA47</f>
        <v>608598.65564620413</v>
      </c>
    </row>
    <row r="35" spans="1:14" ht="15" customHeight="1" x14ac:dyDescent="0.15">
      <c r="A35" s="57" t="s">
        <v>251</v>
      </c>
      <c r="B35" s="88"/>
      <c r="C35" s="84">
        <f>IS!I48</f>
        <v>38969</v>
      </c>
      <c r="D35" s="84">
        <f>IS!J48</f>
        <v>45548</v>
      </c>
      <c r="E35" s="84">
        <f>IS!K48</f>
        <v>53954</v>
      </c>
      <c r="F35" s="84">
        <f>IS!L48</f>
        <v>59108.64957364594</v>
      </c>
      <c r="G35" s="84">
        <f>IS!M48</f>
        <v>62712.464057726072</v>
      </c>
      <c r="H35" s="84"/>
      <c r="I35" s="84">
        <f>IS!Y48</f>
        <v>221323.11363137199</v>
      </c>
      <c r="J35" s="84">
        <f>IS!Z48</f>
        <v>377584.20771304588</v>
      </c>
      <c r="K35" s="84">
        <f>IS!AA48</f>
        <v>513866.1480805038</v>
      </c>
      <c r="N35" s="58" t="s">
        <v>252</v>
      </c>
    </row>
    <row r="36" spans="1:14" ht="15" customHeight="1" x14ac:dyDescent="0.15">
      <c r="A36" s="57" t="s">
        <v>253</v>
      </c>
      <c r="B36" s="88"/>
      <c r="C36" s="88">
        <f>IS!I49</f>
        <v>1.5949983628028814</v>
      </c>
      <c r="D36" s="88">
        <f>IS!J49</f>
        <v>1.8674101102865812</v>
      </c>
      <c r="E36" s="88">
        <f>IS!K49</f>
        <v>2.2217006382540663</v>
      </c>
      <c r="F36" s="88">
        <f>IS!L49</f>
        <v>2.4421566802070194</v>
      </c>
      <c r="G36" s="88">
        <f>IS!M49</f>
        <v>2.6007291325726638</v>
      </c>
      <c r="H36" s="88"/>
      <c r="I36" s="88">
        <f>IS!Y49</f>
        <v>9.1273963502151041</v>
      </c>
      <c r="J36" s="88">
        <f>IS!Z49</f>
        <v>15.863756184801911</v>
      </c>
      <c r="K36" s="88">
        <f>IS!AA49</f>
        <v>22.236078845696429</v>
      </c>
      <c r="N36" s="58" t="s">
        <v>252</v>
      </c>
    </row>
    <row r="37" spans="1:14" ht="15" customHeight="1" x14ac:dyDescent="0.15">
      <c r="A37" s="58"/>
      <c r="I37" s="92"/>
      <c r="J37" s="92"/>
      <c r="K37" s="92"/>
      <c r="N37" s="91"/>
    </row>
    <row r="38" spans="1:14" ht="15" customHeight="1" x14ac:dyDescent="0.15">
      <c r="A38" s="59" t="s">
        <v>254</v>
      </c>
      <c r="B38" s="70"/>
      <c r="C38" s="70"/>
      <c r="D38" s="70"/>
      <c r="E38" s="70"/>
      <c r="F38" s="70"/>
      <c r="G38" s="70"/>
      <c r="H38" s="70"/>
      <c r="I38" s="70"/>
      <c r="J38" s="70"/>
      <c r="K38" s="70"/>
      <c r="L38" s="70"/>
      <c r="M38" s="70"/>
      <c r="N38" s="70"/>
    </row>
    <row r="39" spans="1:14" ht="15" customHeight="1" x14ac:dyDescent="0.15">
      <c r="A39" s="73" t="s">
        <v>117</v>
      </c>
      <c r="B39" s="74" t="s">
        <v>255</v>
      </c>
      <c r="C39" s="74" t="s">
        <v>256</v>
      </c>
      <c r="D39" s="73" t="s">
        <v>257</v>
      </c>
      <c r="E39" s="69"/>
      <c r="F39" s="69"/>
      <c r="G39" s="69"/>
      <c r="H39" s="69"/>
      <c r="I39" s="69"/>
      <c r="J39" s="69"/>
      <c r="K39" s="69"/>
      <c r="L39" s="69"/>
      <c r="M39" s="69"/>
      <c r="N39" s="69"/>
    </row>
    <row r="40" spans="1:14" ht="15" customHeight="1" x14ac:dyDescent="0.15">
      <c r="A40" s="57" t="s">
        <v>258</v>
      </c>
      <c r="B40" s="93">
        <f>Valuation!B8</f>
        <v>307.12299279094611</v>
      </c>
      <c r="C40" s="76">
        <f>Valuation!C8</f>
        <v>0.33253641440014814</v>
      </c>
      <c r="D40" s="58" t="str">
        <f>Valuation!D8</f>
        <v>WACC 12.90%, terminal g 3.0%</v>
      </c>
    </row>
    <row r="41" spans="1:14" ht="15" customHeight="1" x14ac:dyDescent="0.15">
      <c r="A41" s="57" t="s">
        <v>259</v>
      </c>
      <c r="B41" s="93">
        <f>Valuation!B9</f>
        <v>362.29190450013317</v>
      </c>
      <c r="C41" s="76">
        <f>Valuation!C9</f>
        <v>0.57190170296829734</v>
      </c>
      <c r="D41" s="58" t="str">
        <f>Valuation!D9</f>
        <v>GM +50bp, fade start 27%, g 3.5%</v>
      </c>
    </row>
    <row r="42" spans="1:14" ht="15" customHeight="1" x14ac:dyDescent="0.15">
      <c r="A42" s="57" t="s">
        <v>260</v>
      </c>
      <c r="B42" s="93">
        <f>Valuation!B10</f>
        <v>202.05485224764851</v>
      </c>
      <c r="C42" s="76">
        <f>Valuation!C10</f>
        <v>-0.12333021412856426</v>
      </c>
      <c r="D42" s="58" t="str">
        <f>Valuation!D10</f>
        <v>GM −300bp, fade start 10%, g 2.5%, WACC +50bp</v>
      </c>
    </row>
    <row r="43" spans="1:14" ht="15" customHeight="1" x14ac:dyDescent="0.15">
      <c r="A43" s="57" t="s">
        <v>261</v>
      </c>
      <c r="B43" s="93">
        <f>Valuation!B11</f>
        <v>419.68462925112073</v>
      </c>
      <c r="C43" s="76">
        <f>Valuation!C11</f>
        <v>0.82091560764977767</v>
      </c>
      <c r="D43" s="58" t="str">
        <f>Valuation!D11</f>
        <v>P10 EBITDA × 14.0x</v>
      </c>
    </row>
    <row r="44" spans="1:14" ht="15" customHeight="1" x14ac:dyDescent="0.15">
      <c r="A44" s="57" t="s">
        <v>262</v>
      </c>
      <c r="B44" s="93">
        <f>Valuation!B19</f>
        <v>316.46666666666664</v>
      </c>
      <c r="C44" s="76">
        <f>Valuation!C19</f>
        <v>0.37307647807474242</v>
      </c>
      <c r="D44" s="58" t="str">
        <f>Valuation!D19</f>
        <v>15-house sell-side research set (11 post-print + 4 pre-print), mean of named TPs; Citi &amp; HSBC 2026-09-28 flashes maintained $315/$365 (supplemental sell-side research (2026-09-28)); cross-checks: vcpscanner mean 338.96 (10-06, n=79) · Zacks 328.66 · Public 329.78 (10-08)</v>
      </c>
    </row>
    <row r="45" spans="1:14" ht="15" customHeight="1" x14ac:dyDescent="0.15">
      <c r="A45" s="57" t="s">
        <v>263</v>
      </c>
      <c r="B45" s="93">
        <f>Valuation!B20</f>
        <v>315</v>
      </c>
      <c r="C45" s="76">
        <f>Valuation!C20</f>
        <v>0.36671294689343981</v>
      </c>
      <c r="D45" s="55" t="s">
        <v>264</v>
      </c>
    </row>
    <row r="46" spans="1:14" ht="15" customHeight="1" x14ac:dyDescent="0.15">
      <c r="A46" s="56" t="s">
        <v>265</v>
      </c>
      <c r="B46" s="94">
        <f>Valuation!B42</f>
        <v>315</v>
      </c>
      <c r="N46" s="58" t="s">
        <v>266</v>
      </c>
    </row>
    <row r="47" spans="1:14" ht="15" customHeight="1" x14ac:dyDescent="0.15">
      <c r="A47" s="57" t="s">
        <v>267</v>
      </c>
      <c r="B47" s="76">
        <f>Valuation!B43</f>
        <v>0.36671294689343981</v>
      </c>
      <c r="N47" s="58" t="s">
        <v>268</v>
      </c>
    </row>
    <row r="48" spans="1:14" ht="13.5" customHeight="1" x14ac:dyDescent="0.15">
      <c r="A48" s="57" t="s">
        <v>269</v>
      </c>
      <c r="B48" s="93">
        <f>DCF!I120</f>
        <v>215.76239391435379</v>
      </c>
      <c r="C48" s="76">
        <f>DCF!J120</f>
        <v>-6.38563263000963E-2</v>
      </c>
      <c r="D48" s="58" t="s">
        <v>270</v>
      </c>
      <c r="N48" s="58" t="s">
        <v>271</v>
      </c>
    </row>
    <row r="49" spans="1:4" ht="13.5" customHeight="1" x14ac:dyDescent="0.15">
      <c r="A49" s="57" t="s">
        <v>272</v>
      </c>
      <c r="B49" s="93">
        <f>DCF!I121</f>
        <v>274.39116087521757</v>
      </c>
      <c r="C49" s="76">
        <f>DCF!J121</f>
        <v>0.19052048279771605</v>
      </c>
      <c r="D49" s="58" t="s">
        <v>273</v>
      </c>
    </row>
  </sheetData>
  <phoneticPr fontId="61" type="noConversion"/>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P83"/>
  <sheetViews>
    <sheetView showGridLines="0" zoomScale="150" zoomScaleNormal="150" workbookViewId="0">
      <pane xSplit="1" ySplit="3" topLeftCell="B5" activePane="bottomRight" state="frozen"/>
      <selection pane="topRight" activeCell="B1" sqref="B1"/>
      <selection pane="bottomLeft" activeCell="A5" sqref="A5"/>
      <selection pane="bottomRight" activeCell="AH18" sqref="AH18"/>
    </sheetView>
  </sheetViews>
  <sheetFormatPr baseColWidth="10" defaultColWidth="8.6640625" defaultRowHeight="14" x14ac:dyDescent="0.15"/>
  <cols>
    <col min="1" max="1" width="42.33203125" customWidth="1"/>
    <col min="2" max="41" width="12.5" customWidth="1"/>
    <col min="42" max="42" width="64" customWidth="1"/>
  </cols>
  <sheetData>
    <row r="1" spans="1:42" ht="21.75" customHeight="1" x14ac:dyDescent="0.15">
      <c r="A1" s="95" t="s">
        <v>274</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row>
    <row r="2" spans="1:42" ht="15" customHeight="1" x14ac:dyDescent="0.15">
      <c r="A2" s="96" t="s">
        <v>275</v>
      </c>
    </row>
    <row r="3" spans="1:42" ht="15" customHeight="1" x14ac:dyDescent="0.15">
      <c r="A3" s="97" t="s">
        <v>276</v>
      </c>
    </row>
    <row r="4" spans="1:42" ht="15" customHeight="1" x14ac:dyDescent="0.15">
      <c r="A4" s="73" t="s">
        <v>277</v>
      </c>
      <c r="B4" s="98" t="s">
        <v>278</v>
      </c>
      <c r="C4" s="98" t="s">
        <v>279</v>
      </c>
      <c r="D4" s="98" t="s">
        <v>280</v>
      </c>
      <c r="E4" s="98" t="s">
        <v>281</v>
      </c>
      <c r="F4" s="98" t="s">
        <v>282</v>
      </c>
      <c r="G4" s="98" t="s">
        <v>283</v>
      </c>
      <c r="H4" s="98" t="s">
        <v>284</v>
      </c>
      <c r="I4" s="98" t="s">
        <v>285</v>
      </c>
      <c r="J4" s="98" t="s">
        <v>286</v>
      </c>
      <c r="K4" s="98" t="s">
        <v>287</v>
      </c>
      <c r="L4" s="98" t="s">
        <v>288</v>
      </c>
      <c r="M4" s="98" t="s">
        <v>289</v>
      </c>
      <c r="N4" s="98" t="s">
        <v>290</v>
      </c>
      <c r="O4" s="98" t="s">
        <v>291</v>
      </c>
      <c r="P4" s="98" t="s">
        <v>292</v>
      </c>
      <c r="Q4" s="98" t="s">
        <v>293</v>
      </c>
      <c r="R4" s="98" t="s">
        <v>294</v>
      </c>
      <c r="S4" s="98" t="s">
        <v>295</v>
      </c>
      <c r="T4" s="98" t="s">
        <v>296</v>
      </c>
      <c r="U4" s="98" t="s">
        <v>297</v>
      </c>
      <c r="V4" s="98" t="s">
        <v>298</v>
      </c>
      <c r="W4" s="98" t="s">
        <v>299</v>
      </c>
      <c r="X4" s="98" t="s">
        <v>300</v>
      </c>
      <c r="Y4" s="98" t="s">
        <v>301</v>
      </c>
      <c r="Z4" s="98" t="s">
        <v>302</v>
      </c>
      <c r="AA4" s="98" t="s">
        <v>303</v>
      </c>
      <c r="AB4" s="98" t="s">
        <v>304</v>
      </c>
      <c r="AC4" s="98" t="s">
        <v>305</v>
      </c>
      <c r="AD4" s="98" t="s">
        <v>306</v>
      </c>
      <c r="AE4" s="98" t="s">
        <v>307</v>
      </c>
      <c r="AF4" s="98" t="s">
        <v>308</v>
      </c>
      <c r="AG4" s="98" t="s">
        <v>309</v>
      </c>
      <c r="AH4" s="98" t="s">
        <v>310</v>
      </c>
      <c r="AI4" s="98" t="s">
        <v>311</v>
      </c>
      <c r="AJ4" s="98" t="s">
        <v>312</v>
      </c>
      <c r="AK4" s="98" t="s">
        <v>313</v>
      </c>
      <c r="AL4" s="98" t="s">
        <v>314</v>
      </c>
      <c r="AM4" s="98" t="s">
        <v>315</v>
      </c>
      <c r="AN4" s="98" t="s">
        <v>316</v>
      </c>
      <c r="AO4" s="98"/>
      <c r="AP4" s="98"/>
    </row>
    <row r="5" spans="1:42" ht="15" customHeight="1" x14ac:dyDescent="0.15">
      <c r="A5" s="99" t="s">
        <v>317</v>
      </c>
      <c r="B5" s="74" t="s">
        <v>318</v>
      </c>
      <c r="C5" s="74" t="s">
        <v>319</v>
      </c>
      <c r="D5" s="74" t="s">
        <v>320</v>
      </c>
      <c r="E5" s="74" t="s">
        <v>321</v>
      </c>
      <c r="F5" s="74" t="s">
        <v>322</v>
      </c>
      <c r="G5" s="74" t="s">
        <v>323</v>
      </c>
      <c r="H5" s="74" t="s">
        <v>324</v>
      </c>
      <c r="I5" s="74" t="s">
        <v>325</v>
      </c>
      <c r="J5" s="74" t="s">
        <v>326</v>
      </c>
      <c r="K5" s="74" t="s">
        <v>327</v>
      </c>
      <c r="L5" s="74" t="s">
        <v>328</v>
      </c>
      <c r="M5" s="74" t="s">
        <v>329</v>
      </c>
      <c r="N5" s="74" t="s">
        <v>330</v>
      </c>
      <c r="O5" s="74" t="s">
        <v>331</v>
      </c>
      <c r="P5" s="74" t="s">
        <v>332</v>
      </c>
      <c r="Q5" s="74" t="s">
        <v>333</v>
      </c>
      <c r="R5" s="74" t="s">
        <v>334</v>
      </c>
      <c r="S5" s="74" t="s">
        <v>335</v>
      </c>
      <c r="T5" s="74" t="s">
        <v>336</v>
      </c>
      <c r="U5" s="74" t="s">
        <v>337</v>
      </c>
      <c r="V5" s="74" t="s">
        <v>338</v>
      </c>
      <c r="W5" s="74" t="s">
        <v>339</v>
      </c>
      <c r="X5" s="74" t="s">
        <v>340</v>
      </c>
      <c r="Y5" s="74" t="s">
        <v>341</v>
      </c>
      <c r="Z5" s="74" t="s">
        <v>342</v>
      </c>
      <c r="AA5" s="74" t="s">
        <v>343</v>
      </c>
      <c r="AB5" s="74" t="s">
        <v>344</v>
      </c>
      <c r="AC5" s="74" t="s">
        <v>345</v>
      </c>
      <c r="AD5" s="74" t="s">
        <v>346</v>
      </c>
      <c r="AE5" s="74" t="s">
        <v>347</v>
      </c>
      <c r="AF5" s="74" t="s">
        <v>348</v>
      </c>
      <c r="AG5" s="74" t="s">
        <v>349</v>
      </c>
      <c r="AH5" s="74" t="s">
        <v>350</v>
      </c>
      <c r="AI5" s="74" t="s">
        <v>351</v>
      </c>
      <c r="AJ5" s="74" t="s">
        <v>352</v>
      </c>
      <c r="AK5" s="74" t="s">
        <v>353</v>
      </c>
      <c r="AL5" s="74" t="s">
        <v>354</v>
      </c>
      <c r="AM5" s="74" t="s">
        <v>355</v>
      </c>
      <c r="AN5" s="74" t="s">
        <v>356</v>
      </c>
      <c r="AO5" s="74"/>
      <c r="AP5" s="99" t="s">
        <v>357</v>
      </c>
    </row>
    <row r="6" spans="1:42" ht="15" customHeight="1" x14ac:dyDescent="0.15">
      <c r="A6" s="96" t="s">
        <v>358</v>
      </c>
      <c r="B6" s="100" t="s">
        <v>359</v>
      </c>
      <c r="C6" s="100" t="s">
        <v>359</v>
      </c>
      <c r="D6" s="100" t="s">
        <v>359</v>
      </c>
      <c r="E6" s="100" t="s">
        <v>359</v>
      </c>
      <c r="F6" s="100" t="s">
        <v>359</v>
      </c>
      <c r="G6" s="100" t="s">
        <v>359</v>
      </c>
      <c r="H6" s="100" t="s">
        <v>359</v>
      </c>
      <c r="I6" s="100" t="s">
        <v>359</v>
      </c>
      <c r="J6" s="100" t="s">
        <v>359</v>
      </c>
      <c r="K6" s="100" t="s">
        <v>359</v>
      </c>
      <c r="L6" s="100" t="s">
        <v>359</v>
      </c>
      <c r="M6" s="100" t="s">
        <v>359</v>
      </c>
      <c r="N6" s="100" t="s">
        <v>359</v>
      </c>
      <c r="O6" s="100" t="s">
        <v>359</v>
      </c>
      <c r="P6" s="100" t="s">
        <v>359</v>
      </c>
      <c r="Q6" s="100" t="s">
        <v>359</v>
      </c>
      <c r="R6" s="100" t="s">
        <v>359</v>
      </c>
      <c r="S6" s="100" t="s">
        <v>359</v>
      </c>
      <c r="T6" s="100" t="s">
        <v>359</v>
      </c>
      <c r="U6" s="100" t="s">
        <v>359</v>
      </c>
      <c r="V6" s="100" t="s">
        <v>359</v>
      </c>
      <c r="W6" s="100" t="s">
        <v>359</v>
      </c>
      <c r="X6" s="100" t="s">
        <v>359</v>
      </c>
      <c r="Y6" s="100" t="s">
        <v>359</v>
      </c>
      <c r="Z6" s="100" t="s">
        <v>359</v>
      </c>
      <c r="AA6" s="100" t="s">
        <v>359</v>
      </c>
      <c r="AB6" s="100" t="s">
        <v>359</v>
      </c>
      <c r="AC6" s="100" t="s">
        <v>359</v>
      </c>
      <c r="AD6" s="100" t="s">
        <v>359</v>
      </c>
      <c r="AE6" s="100" t="s">
        <v>359</v>
      </c>
      <c r="AF6" s="100" t="s">
        <v>359</v>
      </c>
      <c r="AG6" s="100" t="s">
        <v>359</v>
      </c>
      <c r="AH6" s="100" t="s">
        <v>359</v>
      </c>
      <c r="AI6" s="100" t="s">
        <v>359</v>
      </c>
      <c r="AJ6" s="100" t="s">
        <v>359</v>
      </c>
      <c r="AK6" s="100" t="s">
        <v>359</v>
      </c>
      <c r="AL6" s="100" t="s">
        <v>359</v>
      </c>
      <c r="AM6" s="100" t="s">
        <v>359</v>
      </c>
      <c r="AN6" s="100" t="s">
        <v>360</v>
      </c>
      <c r="AO6" s="100"/>
    </row>
    <row r="8" spans="1:42" ht="15" customHeight="1" x14ac:dyDescent="0.15">
      <c r="A8" s="96" t="s">
        <v>361</v>
      </c>
    </row>
    <row r="9" spans="1:42" ht="15" customHeight="1" x14ac:dyDescent="0.15">
      <c r="A9" s="97" t="s">
        <v>362</v>
      </c>
      <c r="B9" s="101">
        <f>IF(Raw_Data!B198="","",Raw_Data!B198)</f>
        <v>1900</v>
      </c>
      <c r="C9" s="101">
        <f>IF(Raw_Data!C198="","",Raw_Data!C198)</f>
        <v>1950</v>
      </c>
      <c r="D9" s="101">
        <f>IF(Raw_Data!D198="","",Raw_Data!D198)</f>
        <v>2350</v>
      </c>
      <c r="E9" s="101">
        <f>IF(Raw_Data!E198="","",Raw_Data!E198)</f>
        <v>2650</v>
      </c>
      <c r="F9" s="101">
        <f>IF(Raw_Data!F198="","",Raw_Data!F198)</f>
        <v>2900</v>
      </c>
      <c r="G9" s="101">
        <f>IF(Raw_Data!G198="","",Raw_Data!G198)</f>
        <v>3100</v>
      </c>
      <c r="H9" s="101">
        <f>IF(Raw_Data!H198="","",Raw_Data!H198)</f>
        <v>3250</v>
      </c>
      <c r="I9" s="101">
        <f>IF(Raw_Data!I198="","",Raw_Data!I198)</f>
        <v>2700</v>
      </c>
      <c r="J9" s="101">
        <f>IF(Raw_Data!J198="","",Raw_Data!J198)</f>
        <v>2200</v>
      </c>
      <c r="K9" s="101">
        <f>IF(Raw_Data!K198="","",Raw_Data!K198)</f>
        <v>2550</v>
      </c>
      <c r="L9" s="101">
        <f>IF(Raw_Data!L198="","",Raw_Data!L198)</f>
        <v>2900</v>
      </c>
      <c r="M9" s="101">
        <f>IF(Raw_Data!M198="","",Raw_Data!M198)</f>
        <v>2950</v>
      </c>
      <c r="N9" s="101">
        <f>IF(Raw_Data!N198="","",Raw_Data!N198)</f>
        <v>3000</v>
      </c>
      <c r="O9" s="101">
        <f>IF(Raw_Data!O198="","",Raw_Data!O198)</f>
        <v>3650</v>
      </c>
      <c r="P9" s="101">
        <f>IF(Raw_Data!P198="","",Raw_Data!P198)</f>
        <v>4400</v>
      </c>
      <c r="Q9" s="101">
        <f>IF(Raw_Data!Q198="","",Raw_Data!Q198)</f>
        <v>4800</v>
      </c>
      <c r="R9" s="101">
        <f>IF(Raw_Data!R198="","",Raw_Data!R198)</f>
        <v>5300</v>
      </c>
      <c r="S9" s="101">
        <f>IF(Raw_Data!S198="","",Raw_Data!S198)</f>
        <v>6300</v>
      </c>
      <c r="T9" s="101">
        <f>IF(Raw_Data!T198="","",Raw_Data!T198)</f>
        <v>6800</v>
      </c>
      <c r="U9" s="101">
        <f>IF(Raw_Data!U198="","",Raw_Data!U198)</f>
        <v>7400</v>
      </c>
      <c r="V9" s="101">
        <f>IF(Raw_Data!V198="","",Raw_Data!V198)</f>
        <v>8100</v>
      </c>
      <c r="W9" s="101">
        <f>IF(Raw_Data!W198="","",Raw_Data!W198)</f>
        <v>8100</v>
      </c>
      <c r="X9" s="101">
        <f>IF(Raw_Data!X198="","",Raw_Data!X198)</f>
        <v>5900</v>
      </c>
      <c r="Y9" s="101">
        <f>IF(Raw_Data!Y198="","",Raw_Data!Y198)</f>
        <v>6000</v>
      </c>
      <c r="Z9" s="101">
        <f>IF(Raw_Data!Z198="","",Raw_Data!Z198)</f>
        <v>6500</v>
      </c>
      <c r="AA9" s="101">
        <f>IF(Raw_Data!AA198="","",Raw_Data!AA198)</f>
        <v>11000</v>
      </c>
      <c r="AB9" s="101">
        <f>IF(Raw_Data!AB198="","",Raw_Data!AB198)</f>
        <v>16000</v>
      </c>
      <c r="AC9" s="101">
        <f>IF(Raw_Data!AC198="","",Raw_Data!AC198)</f>
        <v>20000</v>
      </c>
      <c r="AD9" s="101">
        <f>IF(Raw_Data!AD198="","",Raw_Data!AD198)</f>
        <v>24000</v>
      </c>
      <c r="AE9" s="101">
        <f>IF(Raw_Data!AE198="","",Raw_Data!AE198)</f>
        <v>28000</v>
      </c>
      <c r="AF9" s="101">
        <f>IF(Raw_Data!AF198="","",Raw_Data!AF198)</f>
        <v>32500</v>
      </c>
      <c r="AG9" s="101">
        <f>IF(Raw_Data!AG198="","",Raw_Data!AG198)</f>
        <v>37500</v>
      </c>
      <c r="AH9" s="101">
        <f>IF(Raw_Data!AH198="","",Raw_Data!AH198)</f>
        <v>43000</v>
      </c>
      <c r="AI9" s="101">
        <f>IF(Raw_Data!AI198="","",Raw_Data!AI198)</f>
        <v>45000</v>
      </c>
      <c r="AJ9" s="101">
        <f>IF(Raw_Data!AJ198="","",Raw_Data!AJ198)</f>
        <v>54000</v>
      </c>
      <c r="AK9" s="101">
        <f>IF(Raw_Data!AK198="","",Raw_Data!AK198)</f>
        <v>65000</v>
      </c>
      <c r="AL9" s="101">
        <f>IF(Raw_Data!AL198="","",Raw_Data!AL198)</f>
        <v>78000</v>
      </c>
      <c r="AM9" s="101">
        <f>IF(Raw_Data!AM198="","",Raw_Data!AM198)</f>
        <v>91000</v>
      </c>
      <c r="AN9" s="101">
        <f>IF(Raw_Data!AN198="","",Raw_Data!AN198)</f>
        <v>108000</v>
      </c>
      <c r="AO9" s="101"/>
      <c r="AP9" s="102" t="s">
        <v>363</v>
      </c>
    </row>
    <row r="10" spans="1:42" ht="15" customHeight="1" x14ac:dyDescent="0.15">
      <c r="A10" s="97" t="s">
        <v>364</v>
      </c>
      <c r="I10" s="101">
        <f>IF(Raw_Data!I199="","",Raw_Data!I199)</f>
        <v>2200</v>
      </c>
      <c r="W10" s="101">
        <f>IF(Raw_Data!W199="","",Raw_Data!W199)</f>
        <v>6700</v>
      </c>
      <c r="AP10" s="102" t="s">
        <v>365</v>
      </c>
    </row>
    <row r="11" spans="1:42" ht="15" customHeight="1" x14ac:dyDescent="0.15">
      <c r="A11" s="97" t="s">
        <v>366</v>
      </c>
      <c r="B11" s="101">
        <f>IF(Raw_Data!B206="","",Raw_Data!B206)</f>
        <v>1937</v>
      </c>
      <c r="C11" s="101">
        <f>IF(Raw_Data!C206="","",Raw_Data!C206)</f>
        <v>2230</v>
      </c>
      <c r="D11" s="101">
        <f>IF(Raw_Data!D206="","",Raw_Data!D206)</f>
        <v>2636</v>
      </c>
      <c r="E11" s="101">
        <f>IF(Raw_Data!E206="","",Raw_Data!E206)</f>
        <v>2911</v>
      </c>
      <c r="F11" s="101">
        <f>IF(Raw_Data!F206="","",Raw_Data!F206)</f>
        <v>3207</v>
      </c>
      <c r="G11" s="101">
        <f>IF(Raw_Data!G206="","",Raw_Data!G206)</f>
        <v>3123</v>
      </c>
      <c r="H11" s="101">
        <f>IF(Raw_Data!H206="","",Raw_Data!H206)</f>
        <v>3181</v>
      </c>
      <c r="I11" s="101">
        <f>IF(Raw_Data!I206="","",Raw_Data!I206)</f>
        <v>2205</v>
      </c>
      <c r="J11" s="101">
        <f>IF(Raw_Data!J206="","",Raw_Data!J206)</f>
        <v>2220</v>
      </c>
      <c r="K11" s="101">
        <f>IF(Raw_Data!K206="","",Raw_Data!K206)</f>
        <v>2579</v>
      </c>
      <c r="L11" s="101">
        <f>IF(Raw_Data!L206="","",Raw_Data!L206)</f>
        <v>3014</v>
      </c>
      <c r="M11" s="101">
        <f>IF(Raw_Data!M206="","",Raw_Data!M206)</f>
        <v>3105</v>
      </c>
      <c r="N11" s="101">
        <f>IF(Raw_Data!N206="","",Raw_Data!N206)</f>
        <v>3080</v>
      </c>
      <c r="O11" s="101">
        <f>IF(Raw_Data!O206="","",Raw_Data!O206)</f>
        <v>3866</v>
      </c>
      <c r="P11" s="101">
        <f>IF(Raw_Data!P206="","",Raw_Data!P206)</f>
        <v>4726</v>
      </c>
      <c r="Q11" s="101">
        <f>IF(Raw_Data!Q206="","",Raw_Data!Q206)</f>
        <v>5003</v>
      </c>
      <c r="R11" s="101">
        <f>IF(Raw_Data!R206="","",Raw_Data!R206)</f>
        <v>5661</v>
      </c>
      <c r="S11" s="101">
        <f>IF(Raw_Data!S206="","",Raw_Data!S206)</f>
        <v>6507</v>
      </c>
      <c r="T11" s="101">
        <f>IF(Raw_Data!T206="","",Raw_Data!T206)</f>
        <v>7103</v>
      </c>
      <c r="U11" s="101">
        <f>IF(Raw_Data!U206="","",Raw_Data!U206)</f>
        <v>7643</v>
      </c>
      <c r="V11" s="101">
        <f>IF(Raw_Data!V206="","",Raw_Data!V206)</f>
        <v>8288</v>
      </c>
      <c r="W11" s="101">
        <f>IF(Raw_Data!W206="","",Raw_Data!W206)</f>
        <v>6704</v>
      </c>
      <c r="X11" s="101">
        <f>IF(Raw_Data!X206="","",Raw_Data!X206)</f>
        <v>5931</v>
      </c>
      <c r="Y11" s="101">
        <f>IF(Raw_Data!Y206="","",Raw_Data!Y206)</f>
        <v>6051</v>
      </c>
      <c r="Z11" s="101">
        <f>IF(Raw_Data!Z206="","",Raw_Data!Z206)</f>
        <v>7192</v>
      </c>
      <c r="AA11" s="101">
        <f>IF(Raw_Data!AA206="","",Raw_Data!AA206)</f>
        <v>13507</v>
      </c>
      <c r="AB11" s="101">
        <f>IF(Raw_Data!AB206="","",Raw_Data!AB206)</f>
        <v>18120</v>
      </c>
      <c r="AC11" s="101">
        <f>IF(Raw_Data!AC206="","",Raw_Data!AC206)</f>
        <v>22103</v>
      </c>
      <c r="AD11" s="101">
        <f>IF(Raw_Data!AD206="","",Raw_Data!AD206)</f>
        <v>26044</v>
      </c>
      <c r="AE11" s="101">
        <f>IF(Raw_Data!AE206="","",Raw_Data!AE206)</f>
        <v>30040</v>
      </c>
      <c r="AF11" s="101">
        <f>IF(Raw_Data!AF206="","",Raw_Data!AF206)</f>
        <v>35082</v>
      </c>
      <c r="AG11" s="101">
        <f>IF(Raw_Data!AG206="","",Raw_Data!AG206)</f>
        <v>39331</v>
      </c>
      <c r="AH11" s="101">
        <f>IF(Raw_Data!AH206="","",Raw_Data!AH206)</f>
        <v>44062</v>
      </c>
      <c r="AI11" s="101">
        <f>IF(Raw_Data!AI206="","",Raw_Data!AI206)</f>
        <v>46743</v>
      </c>
      <c r="AJ11" s="101">
        <f>IF(Raw_Data!AJ206="","",Raw_Data!AJ206)</f>
        <v>57006</v>
      </c>
      <c r="AK11" s="101">
        <f>IF(Raw_Data!AK206="","",Raw_Data!AK206)</f>
        <v>68127</v>
      </c>
      <c r="AL11" s="101">
        <f>IF(Raw_Data!AL206="","",Raw_Data!AL206)</f>
        <v>81615</v>
      </c>
      <c r="AM11" s="101">
        <f>IF(Raw_Data!AM206="","",Raw_Data!AM206)</f>
        <v>96221</v>
      </c>
      <c r="AN11" s="101"/>
      <c r="AO11" s="101"/>
      <c r="AP11" s="102" t="s">
        <v>367</v>
      </c>
    </row>
    <row r="12" spans="1:42" ht="15" customHeight="1" x14ac:dyDescent="0.15">
      <c r="A12" s="97" t="s">
        <v>368</v>
      </c>
      <c r="B12" s="103">
        <f t="shared" ref="B12:AN12" si="0">IF(NOT(ISNUMBER(B11)),"n.a.",B11/B9-1)</f>
        <v>1.947368421052631E-2</v>
      </c>
      <c r="C12" s="103">
        <f t="shared" si="0"/>
        <v>0.14358974358974352</v>
      </c>
      <c r="D12" s="103">
        <f t="shared" si="0"/>
        <v>0.12170212765957444</v>
      </c>
      <c r="E12" s="103">
        <f t="shared" si="0"/>
        <v>9.8490566037735761E-2</v>
      </c>
      <c r="F12" s="103">
        <f t="shared" si="0"/>
        <v>0.1058620689655172</v>
      </c>
      <c r="G12" s="103">
        <f t="shared" si="0"/>
        <v>7.4193548387095909E-3</v>
      </c>
      <c r="H12" s="103">
        <f t="shared" si="0"/>
        <v>-2.1230769230769275E-2</v>
      </c>
      <c r="I12" s="103">
        <f t="shared" si="0"/>
        <v>-0.18333333333333335</v>
      </c>
      <c r="J12" s="103">
        <f t="shared" si="0"/>
        <v>9.0909090909090384E-3</v>
      </c>
      <c r="K12" s="103">
        <f t="shared" si="0"/>
        <v>1.1372549019607936E-2</v>
      </c>
      <c r="L12" s="103">
        <f t="shared" si="0"/>
        <v>3.9310344827586219E-2</v>
      </c>
      <c r="M12" s="103">
        <f t="shared" si="0"/>
        <v>5.2542372881355881E-2</v>
      </c>
      <c r="N12" s="103">
        <f t="shared" si="0"/>
        <v>2.6666666666666616E-2</v>
      </c>
      <c r="O12" s="103">
        <f t="shared" si="0"/>
        <v>5.917808219178089E-2</v>
      </c>
      <c r="P12" s="103">
        <f t="shared" si="0"/>
        <v>7.4090909090908985E-2</v>
      </c>
      <c r="Q12" s="103">
        <f t="shared" si="0"/>
        <v>4.2291666666666616E-2</v>
      </c>
      <c r="R12" s="103">
        <f t="shared" si="0"/>
        <v>6.8113207547169763E-2</v>
      </c>
      <c r="S12" s="103">
        <f t="shared" si="0"/>
        <v>3.2857142857142918E-2</v>
      </c>
      <c r="T12" s="103">
        <f t="shared" si="0"/>
        <v>4.4558823529411873E-2</v>
      </c>
      <c r="U12" s="103">
        <f t="shared" si="0"/>
        <v>3.283783783783778E-2</v>
      </c>
      <c r="V12" s="103">
        <f t="shared" si="0"/>
        <v>2.3209876543209829E-2</v>
      </c>
      <c r="W12" s="103">
        <f t="shared" si="0"/>
        <v>-0.17234567901234565</v>
      </c>
      <c r="X12" s="103">
        <f t="shared" si="0"/>
        <v>5.2542372881356769E-3</v>
      </c>
      <c r="Y12" s="103">
        <f t="shared" si="0"/>
        <v>8.499999999999952E-3</v>
      </c>
      <c r="Z12" s="103">
        <f t="shared" si="0"/>
        <v>0.10646153846153839</v>
      </c>
      <c r="AA12" s="103">
        <f t="shared" si="0"/>
        <v>0.22790909090909084</v>
      </c>
      <c r="AB12" s="103">
        <f t="shared" si="0"/>
        <v>0.13250000000000006</v>
      </c>
      <c r="AC12" s="103">
        <f t="shared" si="0"/>
        <v>0.10515000000000008</v>
      </c>
      <c r="AD12" s="103">
        <f t="shared" si="0"/>
        <v>8.5166666666666613E-2</v>
      </c>
      <c r="AE12" s="103">
        <f t="shared" si="0"/>
        <v>7.2857142857142954E-2</v>
      </c>
      <c r="AF12" s="103">
        <f t="shared" si="0"/>
        <v>7.9446153846153944E-2</v>
      </c>
      <c r="AG12" s="103">
        <f t="shared" si="0"/>
        <v>4.8826666666666574E-2</v>
      </c>
      <c r="AH12" s="103">
        <f t="shared" si="0"/>
        <v>2.4697674418604709E-2</v>
      </c>
      <c r="AI12" s="103">
        <f t="shared" si="0"/>
        <v>3.8733333333333286E-2</v>
      </c>
      <c r="AJ12" s="103">
        <f t="shared" si="0"/>
        <v>5.5666666666666753E-2</v>
      </c>
      <c r="AK12" s="103">
        <f t="shared" si="0"/>
        <v>4.8107692307692407E-2</v>
      </c>
      <c r="AL12" s="103">
        <f t="shared" si="0"/>
        <v>4.6346153846153815E-2</v>
      </c>
      <c r="AM12" s="103">
        <f t="shared" si="0"/>
        <v>5.7373626373626418E-2</v>
      </c>
      <c r="AN12" s="103" t="str">
        <f t="shared" si="0"/>
        <v>n.a.</v>
      </c>
      <c r="AO12" s="103"/>
      <c r="AP12" s="102" t="s">
        <v>369</v>
      </c>
    </row>
    <row r="13" spans="1:42" ht="15" customHeight="1" x14ac:dyDescent="0.15">
      <c r="A13" s="97" t="s">
        <v>370</v>
      </c>
      <c r="B13" s="100" t="str">
        <f>IF(NOT(ISNUMBER(B11)),"",IF(B11&gt;B9*(1+Raw_Data!B205),"Beat",IF(B11&lt;B9*(1-Raw_Data!B205),"Miss","In-line")))</f>
        <v>In-line</v>
      </c>
      <c r="C13" s="100" t="str">
        <f>IF(NOT(ISNUMBER(C11)),"",IF(C11&gt;C9*(1+Raw_Data!C205),"Beat",IF(C11&lt;C9*(1-Raw_Data!C205),"Miss","In-line")))</f>
        <v>Beat</v>
      </c>
      <c r="D13" s="100" t="str">
        <f>IF(NOT(ISNUMBER(D11)),"",IF(D11&gt;D9*(1+Raw_Data!D205),"Beat",IF(D11&lt;D9*(1-Raw_Data!D205),"Miss","In-line")))</f>
        <v>Beat</v>
      </c>
      <c r="E13" s="100" t="str">
        <f>IF(NOT(ISNUMBER(E11)),"",IF(E11&gt;E9*(1+Raw_Data!E205),"Beat",IF(E11&lt;E9*(1-Raw_Data!E205),"Miss","In-line")))</f>
        <v>Beat</v>
      </c>
      <c r="F13" s="100" t="str">
        <f>IF(NOT(ISNUMBER(F11)),"",IF(F11&gt;F9*(1+Raw_Data!F205),"Beat",IF(F11&lt;F9*(1-Raw_Data!F205),"Miss","In-line")))</f>
        <v>Beat</v>
      </c>
      <c r="G13" s="100" t="str">
        <f>IF(NOT(ISNUMBER(G11)),"",IF(G11&gt;G9*(1+Raw_Data!G205),"Beat",IF(G11&lt;G9*(1-Raw_Data!G205),"Miss","In-line")))</f>
        <v>In-line</v>
      </c>
      <c r="H13" s="100" t="str">
        <f>IF(NOT(ISNUMBER(H11)),"",IF(H11&gt;H9*(1+Raw_Data!H205),"Beat",IF(H11&lt;H9*(1-Raw_Data!H205),"Miss","In-line")))</f>
        <v>Miss</v>
      </c>
      <c r="I13" s="100" t="str">
        <f>IF(NOT(ISNUMBER(I11)),"",IF(I11&gt;I9*(1+Raw_Data!I205),"Beat",IF(I11&lt;I9*(1-Raw_Data!I205),"Miss","In-line")))</f>
        <v>Miss</v>
      </c>
      <c r="J13" s="100" t="str">
        <f>IF(NOT(ISNUMBER(J11)),"",IF(J11&gt;J9*(1+Raw_Data!J205),"Beat",IF(J11&lt;J9*(1-Raw_Data!J205),"Miss","In-line")))</f>
        <v>In-line</v>
      </c>
      <c r="K13" s="100" t="str">
        <f>IF(NOT(ISNUMBER(K11)),"",IF(K11&gt;K9*(1+Raw_Data!K205),"Beat",IF(K11&lt;K9*(1-Raw_Data!K205),"Miss","In-line")))</f>
        <v>In-line</v>
      </c>
      <c r="L13" s="100" t="str">
        <f>IF(NOT(ISNUMBER(L11)),"",IF(L11&gt;L9*(1+Raw_Data!L205),"Beat",IF(L11&lt;L9*(1-Raw_Data!L205),"Miss","In-line")))</f>
        <v>Beat</v>
      </c>
      <c r="M13" s="100" t="str">
        <f>IF(NOT(ISNUMBER(M11)),"",IF(M11&gt;M9*(1+Raw_Data!M205),"Beat",IF(M11&lt;M9*(1-Raw_Data!M205),"Miss","In-line")))</f>
        <v>Beat</v>
      </c>
      <c r="N13" s="100" t="str">
        <f>IF(NOT(ISNUMBER(N11)),"",IF(N11&gt;N9*(1+Raw_Data!N205),"Beat",IF(N11&lt;N9*(1-Raw_Data!N205),"Miss","In-line")))</f>
        <v>Beat</v>
      </c>
      <c r="O13" s="100" t="str">
        <f>IF(NOT(ISNUMBER(O11)),"",IF(O11&gt;O9*(1+Raw_Data!O205),"Beat",IF(O11&lt;O9*(1-Raw_Data!O205),"Miss","In-line")))</f>
        <v>Beat</v>
      </c>
      <c r="P13" s="100" t="str">
        <f>IF(NOT(ISNUMBER(P11)),"",IF(P11&gt;P9*(1+Raw_Data!P205),"Beat",IF(P11&lt;P9*(1-Raw_Data!P205),"Miss","In-line")))</f>
        <v>Beat</v>
      </c>
      <c r="Q13" s="100" t="str">
        <f>IF(NOT(ISNUMBER(Q11)),"",IF(Q11&gt;Q9*(1+Raw_Data!Q205),"Beat",IF(Q11&lt;Q9*(1-Raw_Data!Q205),"Miss","In-line")))</f>
        <v>Beat</v>
      </c>
      <c r="R13" s="100" t="str">
        <f>IF(NOT(ISNUMBER(R11)),"",IF(R11&gt;R9*(1+Raw_Data!R205),"Beat",IF(R11&lt;R9*(1-Raw_Data!R205),"Miss","In-line")))</f>
        <v>Beat</v>
      </c>
      <c r="S13" s="100" t="str">
        <f>IF(NOT(ISNUMBER(S11)),"",IF(S11&gt;S9*(1+Raw_Data!S205),"Beat",IF(S11&lt;S9*(1-Raw_Data!S205),"Miss","In-line")))</f>
        <v>Beat</v>
      </c>
      <c r="T13" s="100" t="str">
        <f>IF(NOT(ISNUMBER(T11)),"",IF(T11&gt;T9*(1+Raw_Data!T205),"Beat",IF(T11&lt;T9*(1-Raw_Data!T205),"Miss","In-line")))</f>
        <v>Beat</v>
      </c>
      <c r="U13" s="100" t="str">
        <f>IF(NOT(ISNUMBER(U11)),"",IF(U11&gt;U9*(1+Raw_Data!U205),"Beat",IF(U11&lt;U9*(1-Raw_Data!U205),"Miss","In-line")))</f>
        <v>Beat</v>
      </c>
      <c r="V13" s="100" t="str">
        <f>IF(NOT(ISNUMBER(V11)),"",IF(V11&gt;V9*(1+Raw_Data!V205),"Beat",IF(V11&lt;V9*(1-Raw_Data!V205),"Miss","In-line")))</f>
        <v>Beat</v>
      </c>
      <c r="W13" s="100" t="str">
        <f>IF(NOT(ISNUMBER(W11)),"",IF(W11&gt;W9*(1+Raw_Data!W205),"Beat",IF(W11&lt;W9*(1-Raw_Data!W205),"Miss","In-line")))</f>
        <v>Miss</v>
      </c>
      <c r="X13" s="100" t="str">
        <f>IF(NOT(ISNUMBER(X11)),"",IF(X11&gt;X9*(1+Raw_Data!X205),"Beat",IF(X11&lt;X9*(1-Raw_Data!X205),"Miss","In-line")))</f>
        <v>In-line</v>
      </c>
      <c r="Y13" s="100" t="str">
        <f>IF(NOT(ISNUMBER(Y11)),"",IF(Y11&gt;Y9*(1+Raw_Data!Y205),"Beat",IF(Y11&lt;Y9*(1-Raw_Data!Y205),"Miss","In-line")))</f>
        <v>In-line</v>
      </c>
      <c r="Z13" s="100" t="str">
        <f>IF(NOT(ISNUMBER(Z11)),"",IF(Z11&gt;Z9*(1+Raw_Data!Z205),"Beat",IF(Z11&lt;Z9*(1-Raw_Data!Z205),"Miss","In-line")))</f>
        <v>Beat</v>
      </c>
      <c r="AA13" s="100" t="str">
        <f>IF(NOT(ISNUMBER(AA11)),"",IF(AA11&gt;AA9*(1+Raw_Data!AA205),"Beat",IF(AA11&lt;AA9*(1-Raw_Data!AA205),"Miss","In-line")))</f>
        <v>Beat</v>
      </c>
      <c r="AB13" s="100" t="str">
        <f>IF(NOT(ISNUMBER(AB11)),"",IF(AB11&gt;AB9*(1+Raw_Data!AB205),"Beat",IF(AB11&lt;AB9*(1-Raw_Data!AB205),"Miss","In-line")))</f>
        <v>Beat</v>
      </c>
      <c r="AC13" s="100" t="str">
        <f>IF(NOT(ISNUMBER(AC11)),"",IF(AC11&gt;AC9*(1+Raw_Data!AC205),"Beat",IF(AC11&lt;AC9*(1-Raw_Data!AC205),"Miss","In-line")))</f>
        <v>Beat</v>
      </c>
      <c r="AD13" s="100" t="str">
        <f>IF(NOT(ISNUMBER(AD11)),"",IF(AD11&gt;AD9*(1+Raw_Data!AD205),"Beat",IF(AD11&lt;AD9*(1-Raw_Data!AD205),"Miss","In-line")))</f>
        <v>Beat</v>
      </c>
      <c r="AE13" s="100" t="str">
        <f>IF(NOT(ISNUMBER(AE11)),"",IF(AE11&gt;AE9*(1+Raw_Data!AE205),"Beat",IF(AE11&lt;AE9*(1-Raw_Data!AE205),"Miss","In-line")))</f>
        <v>Beat</v>
      </c>
      <c r="AF13" s="100" t="str">
        <f>IF(NOT(ISNUMBER(AF11)),"",IF(AF11&gt;AF9*(1+Raw_Data!AF205),"Beat",IF(AF11&lt;AF9*(1-Raw_Data!AF205),"Miss","In-line")))</f>
        <v>Beat</v>
      </c>
      <c r="AG13" s="100" t="str">
        <f>IF(NOT(ISNUMBER(AG11)),"",IF(AG11&gt;AG9*(1+Raw_Data!AG205),"Beat",IF(AG11&lt;AG9*(1-Raw_Data!AG205),"Miss","In-line")))</f>
        <v>Beat</v>
      </c>
      <c r="AH13" s="100" t="str">
        <f>IF(NOT(ISNUMBER(AH11)),"",IF(AH11&gt;AH9*(1+Raw_Data!AH205),"Beat",IF(AH11&lt;AH9*(1-Raw_Data!AH205),"Miss","In-line")))</f>
        <v>Beat</v>
      </c>
      <c r="AI13" s="100" t="str">
        <f>IF(NOT(ISNUMBER(AI11)),"",IF(AI11&gt;AI9*(1+Raw_Data!AI205),"Beat",IF(AI11&lt;AI9*(1-Raw_Data!AI205),"Miss","In-line")))</f>
        <v>Beat</v>
      </c>
      <c r="AJ13" s="100" t="str">
        <f>IF(NOT(ISNUMBER(AJ11)),"",IF(AJ11&gt;AJ9*(1+Raw_Data!AJ205),"Beat",IF(AJ11&lt;AJ9*(1-Raw_Data!AJ205),"Miss","In-line")))</f>
        <v>Beat</v>
      </c>
      <c r="AK13" s="100" t="str">
        <f>IF(NOT(ISNUMBER(AK11)),"",IF(AK11&gt;AK9*(1+Raw_Data!AK205),"Beat",IF(AK11&lt;AK9*(1-Raw_Data!AK205),"Miss","In-line")))</f>
        <v>Beat</v>
      </c>
      <c r="AL13" s="100" t="str">
        <f>IF(NOT(ISNUMBER(AL11)),"",IF(AL11&gt;AL9*(1+Raw_Data!AL205),"Beat",IF(AL11&lt;AL9*(1-Raw_Data!AL205),"Miss","In-line")))</f>
        <v>Beat</v>
      </c>
      <c r="AM13" s="100" t="str">
        <f>IF(NOT(ISNUMBER(AM11)),"",IF(AM11&gt;AM9*(1+Raw_Data!AM205),"Beat",IF(AM11&lt;AM9*(1-Raw_Data!AM205),"Miss","In-line")))</f>
        <v>Beat</v>
      </c>
      <c r="AN13" s="100" t="str">
        <f>IF(NOT(ISNUMBER(AN11)),"",IF(AN11&gt;AN9*(1+Raw_Data!AN205),"Beat",IF(AN11&lt;AN9*(1-Raw_Data!AN205),"Miss","In-line")))</f>
        <v/>
      </c>
      <c r="AO13" s="100"/>
      <c r="AP13" s="102" t="s">
        <v>371</v>
      </c>
    </row>
    <row r="14" spans="1:42" ht="13.5" customHeight="1" x14ac:dyDescent="0.15">
      <c r="C14" s="104"/>
    </row>
    <row r="15" spans="1:42" ht="15" customHeight="1" x14ac:dyDescent="0.15">
      <c r="A15" s="96" t="s">
        <v>372</v>
      </c>
      <c r="W15" s="104"/>
    </row>
    <row r="16" spans="1:42" ht="15" customHeight="1" x14ac:dyDescent="0.15">
      <c r="A16" s="97" t="s">
        <v>373</v>
      </c>
      <c r="B16" s="105">
        <f>IF(Raw_Data!B207="","",Raw_Data!B207)</f>
        <v>0.59699999999999998</v>
      </c>
      <c r="C16" s="105">
        <f>IF(Raw_Data!C207="","",Raw_Data!C207)</f>
        <v>0.58599999999999997</v>
      </c>
      <c r="D16" s="105">
        <f>IF(Raw_Data!D207="","",Raw_Data!D207)</f>
        <v>0.58799999999999997</v>
      </c>
      <c r="E16" s="105">
        <f>IF(Raw_Data!E207="","",Raw_Data!E207)</f>
        <v>0.6</v>
      </c>
      <c r="F16" s="105">
        <f>IF(Raw_Data!F207="","",Raw_Data!F207)</f>
        <v>0.63</v>
      </c>
      <c r="G16" s="105">
        <f>IF(Raw_Data!G207="","",Raw_Data!G207)</f>
        <v>0.63500000000000001</v>
      </c>
      <c r="H16" s="105">
        <f>IF(Raw_Data!H207="","",Raw_Data!H207)</f>
        <v>0.628</v>
      </c>
      <c r="I16" s="105">
        <f>IF(Raw_Data!I207="","",Raw_Data!I207)</f>
        <v>0.625</v>
      </c>
      <c r="J16" s="105">
        <f>IF(Raw_Data!J207="","",Raw_Data!J207)</f>
        <v>0.59</v>
      </c>
      <c r="K16" s="105">
        <f>IF(Raw_Data!K207="","",Raw_Data!K207)</f>
        <v>0.59499999999999997</v>
      </c>
      <c r="L16" s="105">
        <f>IF(Raw_Data!L207="","",Raw_Data!L207)</f>
        <v>0.625</v>
      </c>
      <c r="M16" s="105">
        <f>IF(Raw_Data!M207="","",Raw_Data!M207)</f>
        <v>0.64500000000000002</v>
      </c>
      <c r="N16" s="105">
        <f>IF(Raw_Data!N207="","",Raw_Data!N207)</f>
        <v>0.65400000000000003</v>
      </c>
      <c r="O16" s="105">
        <f>IF(Raw_Data!O207="","",Raw_Data!O207)</f>
        <v>0.66</v>
      </c>
      <c r="P16" s="105">
        <f>IF(Raw_Data!P207="","",Raw_Data!P207)</f>
        <v>0.65500000000000003</v>
      </c>
      <c r="Q16" s="105">
        <f>IF(Raw_Data!Q207="","",Raw_Data!Q207)</f>
        <v>0.65500000000000003</v>
      </c>
      <c r="R16" s="105">
        <f>IF(Raw_Data!R207="","",Raw_Data!R207)</f>
        <v>0.66</v>
      </c>
      <c r="S16" s="105">
        <f>IF(Raw_Data!S207="","",Raw_Data!S207)</f>
        <v>0.66500000000000004</v>
      </c>
      <c r="T16" s="105">
        <f>IF(Raw_Data!T207="","",Raw_Data!T207)</f>
        <v>0.67</v>
      </c>
      <c r="U16" s="105">
        <f>IF(Raw_Data!U207="","",Raw_Data!U207)</f>
        <v>0.67</v>
      </c>
      <c r="V16" s="105">
        <f>IF(Raw_Data!V207="","",Raw_Data!V207)</f>
        <v>0.67</v>
      </c>
      <c r="W16" s="105">
        <f>IF(Raw_Data!W207="","",Raw_Data!W207)</f>
        <v>0.67100000000000004</v>
      </c>
      <c r="X16" s="105">
        <f>IF(Raw_Data!X207="","",Raw_Data!X207)</f>
        <v>0.65</v>
      </c>
      <c r="Y16" s="105">
        <f>IF(Raw_Data!Y207="","",Raw_Data!Y207)</f>
        <v>0.66</v>
      </c>
      <c r="Z16" s="105">
        <f>IF(Raw_Data!Z207="","",Raw_Data!Z207)</f>
        <v>0.66500000000000004</v>
      </c>
      <c r="AA16" s="105">
        <f>IF(Raw_Data!AA207="","",Raw_Data!AA207)</f>
        <v>0.7</v>
      </c>
      <c r="AB16" s="105">
        <f>IF(Raw_Data!AB207="","",Raw_Data!AB207)</f>
        <v>0.72499999999999998</v>
      </c>
      <c r="AC16" s="105">
        <f>IF(Raw_Data!AC207="","",Raw_Data!AC207)</f>
        <v>0.755</v>
      </c>
      <c r="AD16" s="105">
        <f>IF(Raw_Data!AD207="","",Raw_Data!AD207)</f>
        <v>0.77</v>
      </c>
      <c r="AE16" s="105">
        <f>IF(Raw_Data!AE207="","",Raw_Data!AE207)</f>
        <v>0.755</v>
      </c>
      <c r="AF16" s="105">
        <f>IF(Raw_Data!AF207="","",Raw_Data!AF207)</f>
        <v>0.75</v>
      </c>
      <c r="AG16" s="105">
        <f>IF(Raw_Data!AG207="","",Raw_Data!AG207)</f>
        <v>0.73499999999999999</v>
      </c>
      <c r="AH16" s="105">
        <f>IF(Raw_Data!AH207="","",Raw_Data!AH207)</f>
        <v>0.71</v>
      </c>
      <c r="AI16" s="105">
        <f>IF(Raw_Data!AI207="","",Raw_Data!AI207)</f>
        <v>0.72</v>
      </c>
      <c r="AJ16" s="105">
        <f>IF(Raw_Data!AJ207="","",Raw_Data!AJ207)</f>
        <v>0.73499999999999999</v>
      </c>
      <c r="AK16" s="105">
        <f>IF(Raw_Data!AK207="","",Raw_Data!AK207)</f>
        <v>0.75</v>
      </c>
      <c r="AL16" s="105">
        <f>IF(Raw_Data!AL207="","",Raw_Data!AL207)</f>
        <v>0.75</v>
      </c>
      <c r="AM16" s="105">
        <f>IF(Raw_Data!AM207="","",Raw_Data!AM207)</f>
        <v>0.75</v>
      </c>
      <c r="AN16" s="105">
        <f>IF(Raw_Data!AN207="","",Raw_Data!AN207)</f>
        <v>0.74</v>
      </c>
      <c r="AO16" s="105"/>
      <c r="AP16" s="102" t="s">
        <v>374</v>
      </c>
    </row>
    <row r="17" spans="1:42" ht="15" customHeight="1" x14ac:dyDescent="0.15">
      <c r="A17" s="97" t="s">
        <v>366</v>
      </c>
      <c r="B17" s="105">
        <f>IF(Raw_Data!B210="","",Raw_Data!B210)</f>
        <v>0.59599999999999997</v>
      </c>
      <c r="C17" s="105">
        <f>IF(Raw_Data!C210="","",Raw_Data!C210)</f>
        <v>0.58599999999999997</v>
      </c>
      <c r="D17" s="105">
        <f>IF(Raw_Data!D210="","",Raw_Data!D210)</f>
        <v>0.59699999999999998</v>
      </c>
      <c r="E17" s="105">
        <f>IF(Raw_Data!E210="","",Raw_Data!E210)</f>
        <v>0.621</v>
      </c>
      <c r="F17" s="105">
        <f>IF(Raw_Data!F210="","",Raw_Data!F210)</f>
        <v>0.64700000000000002</v>
      </c>
      <c r="G17" s="105">
        <f>IF(Raw_Data!G210="","",Raw_Data!G210)</f>
        <v>0.63500000000000001</v>
      </c>
      <c r="H17" s="105">
        <f>IF(Raw_Data!H210="","",Raw_Data!H210)</f>
        <v>0.61</v>
      </c>
      <c r="I17" s="105">
        <f>IF(Raw_Data!I210="","",Raw_Data!I210)</f>
        <v>0.56000000000000005</v>
      </c>
      <c r="J17" s="105">
        <f>IF(Raw_Data!J210="","",Raw_Data!J210)</f>
        <v>0.59</v>
      </c>
      <c r="K17" s="105">
        <f>IF(Raw_Data!K210="","",Raw_Data!K210)</f>
        <v>0.60099999999999998</v>
      </c>
      <c r="L17" s="105">
        <f>IF(Raw_Data!L210="","",Raw_Data!L210)</f>
        <v>0.64100000000000001</v>
      </c>
      <c r="M17" s="105">
        <f>IF(Raw_Data!M210="","",Raw_Data!M210)</f>
        <v>0.65400000000000003</v>
      </c>
      <c r="N17" s="105">
        <f>IF(Raw_Data!N210="","",Raw_Data!N210)</f>
        <v>0.65800000000000003</v>
      </c>
      <c r="O17" s="105">
        <f>IF(Raw_Data!O210="","",Raw_Data!O210)</f>
        <v>0.66</v>
      </c>
      <c r="P17" s="105">
        <f>IF(Raw_Data!P210="","",Raw_Data!P210)</f>
        <v>0.65500000000000003</v>
      </c>
      <c r="Q17" s="105">
        <f>IF(Raw_Data!Q210="","",Raw_Data!Q210)</f>
        <v>0.65500000000000003</v>
      </c>
      <c r="R17" s="105">
        <f>IF(Raw_Data!R210="","",Raw_Data!R210)</f>
        <v>0.66200000000000003</v>
      </c>
      <c r="S17" s="105">
        <f>IF(Raw_Data!S210="","",Raw_Data!S210)</f>
        <v>0.66700000000000004</v>
      </c>
      <c r="T17" s="105">
        <f>IF(Raw_Data!T210="","",Raw_Data!T210)</f>
        <v>0.67</v>
      </c>
      <c r="U17" s="105">
        <f>IF(Raw_Data!U210="","",Raw_Data!U210)</f>
        <v>0.67</v>
      </c>
      <c r="V17" s="105">
        <f>IF(Raw_Data!V210="","",Raw_Data!V210)</f>
        <v>0.67100000000000004</v>
      </c>
      <c r="W17" s="105">
        <f>IF(Raw_Data!W210="","",Raw_Data!W210)</f>
        <v>0.45900000000000002</v>
      </c>
      <c r="X17" s="105">
        <f>IF(Raw_Data!X210="","",Raw_Data!X210)</f>
        <v>0.56100000000000005</v>
      </c>
      <c r="Y17" s="105">
        <f>IF(Raw_Data!Y210="","",Raw_Data!Y210)</f>
        <v>0.66100000000000003</v>
      </c>
      <c r="Z17" s="105">
        <f>IF(Raw_Data!Z210="","",Raw_Data!Z210)</f>
        <v>0.66800000000000004</v>
      </c>
      <c r="AA17" s="105">
        <f>IF(Raw_Data!AA210="","",Raw_Data!AA210)</f>
        <v>0.71199999999999997</v>
      </c>
      <c r="AB17" s="105">
        <f>IF(Raw_Data!AB210="","",Raw_Data!AB210)</f>
        <v>0.75</v>
      </c>
      <c r="AC17" s="105">
        <f>IF(Raw_Data!AC210="","",Raw_Data!AC210)</f>
        <v>0.76700000000000002</v>
      </c>
      <c r="AD17" s="105">
        <f>IF(Raw_Data!AD210="","",Raw_Data!AD210)</f>
        <v>0.78900000000000003</v>
      </c>
      <c r="AE17" s="105">
        <f>IF(Raw_Data!AE210="","",Raw_Data!AE210)</f>
        <v>0.75700000000000001</v>
      </c>
      <c r="AF17" s="105">
        <f>IF(Raw_Data!AF210="","",Raw_Data!AF210)</f>
        <v>0.75</v>
      </c>
      <c r="AG17" s="105">
        <f>IF(Raw_Data!AG210="","",Raw_Data!AG210)</f>
        <v>0.73499999999999999</v>
      </c>
      <c r="AH17" s="105">
        <f>IF(Raw_Data!AH210="","",Raw_Data!AH210)</f>
        <v>0.61</v>
      </c>
      <c r="AI17" s="105">
        <f>IF(Raw_Data!AI210="","",Raw_Data!AI210)</f>
        <v>0.72699999999999998</v>
      </c>
      <c r="AJ17" s="105">
        <f>IF(Raw_Data!AJ210="","",Raw_Data!AJ210)</f>
        <v>0.73599999999999999</v>
      </c>
      <c r="AK17" s="105">
        <f>IF(Raw_Data!AK210="","",Raw_Data!AK210)</f>
        <v>0.752</v>
      </c>
      <c r="AL17" s="105">
        <f>IF(Raw_Data!AL210="","",Raw_Data!AL210)</f>
        <v>0.75</v>
      </c>
      <c r="AM17" s="105">
        <f>IF(Raw_Data!AM210="","",Raw_Data!AM210)</f>
        <v>0.75</v>
      </c>
      <c r="AN17" s="105"/>
      <c r="AO17" s="105"/>
      <c r="AP17" s="102" t="s">
        <v>367</v>
      </c>
    </row>
    <row r="18" spans="1:42" ht="15" customHeight="1" x14ac:dyDescent="0.15">
      <c r="A18" s="97" t="s">
        <v>375</v>
      </c>
      <c r="B18" s="106">
        <f t="shared" ref="B18:AN18" si="1">IF(NOT(ISNUMBER(B17)),"n.a.",(B17-B16)*10000)</f>
        <v>-10.000000000000009</v>
      </c>
      <c r="C18" s="106">
        <f t="shared" si="1"/>
        <v>0</v>
      </c>
      <c r="D18" s="106">
        <f t="shared" si="1"/>
        <v>90.000000000000085</v>
      </c>
      <c r="E18" s="106">
        <f t="shared" si="1"/>
        <v>210.0000000000002</v>
      </c>
      <c r="F18" s="106">
        <f t="shared" si="1"/>
        <v>170.00000000000014</v>
      </c>
      <c r="G18" s="106">
        <f t="shared" si="1"/>
        <v>0</v>
      </c>
      <c r="H18" s="106">
        <f t="shared" si="1"/>
        <v>-180.00000000000017</v>
      </c>
      <c r="I18" s="106">
        <f t="shared" si="1"/>
        <v>-649.99999999999943</v>
      </c>
      <c r="J18" s="106">
        <f t="shared" si="1"/>
        <v>0</v>
      </c>
      <c r="K18" s="106">
        <f t="shared" si="1"/>
        <v>60.000000000000057</v>
      </c>
      <c r="L18" s="106">
        <f t="shared" si="1"/>
        <v>160.00000000000014</v>
      </c>
      <c r="M18" s="106">
        <f t="shared" si="1"/>
        <v>90.000000000000085</v>
      </c>
      <c r="N18" s="106">
        <f t="shared" si="1"/>
        <v>40.000000000000036</v>
      </c>
      <c r="O18" s="106">
        <f t="shared" si="1"/>
        <v>0</v>
      </c>
      <c r="P18" s="106">
        <f t="shared" si="1"/>
        <v>0</v>
      </c>
      <c r="Q18" s="106">
        <f t="shared" si="1"/>
        <v>0</v>
      </c>
      <c r="R18" s="106">
        <f t="shared" si="1"/>
        <v>20.000000000000018</v>
      </c>
      <c r="S18" s="106">
        <f t="shared" si="1"/>
        <v>20.000000000000018</v>
      </c>
      <c r="T18" s="106">
        <f t="shared" si="1"/>
        <v>0</v>
      </c>
      <c r="U18" s="106">
        <f t="shared" si="1"/>
        <v>0</v>
      </c>
      <c r="V18" s="106">
        <f t="shared" si="1"/>
        <v>10.000000000000009</v>
      </c>
      <c r="W18" s="106">
        <f t="shared" si="1"/>
        <v>-2120</v>
      </c>
      <c r="X18" s="106">
        <f t="shared" si="1"/>
        <v>-889.99999999999966</v>
      </c>
      <c r="Y18" s="106">
        <f t="shared" si="1"/>
        <v>10.000000000000009</v>
      </c>
      <c r="Z18" s="106">
        <f t="shared" si="1"/>
        <v>30.000000000000028</v>
      </c>
      <c r="AA18" s="106">
        <f t="shared" si="1"/>
        <v>120.00000000000011</v>
      </c>
      <c r="AB18" s="106">
        <f t="shared" si="1"/>
        <v>250.00000000000023</v>
      </c>
      <c r="AC18" s="106">
        <f t="shared" si="1"/>
        <v>120.00000000000011</v>
      </c>
      <c r="AD18" s="106">
        <f t="shared" si="1"/>
        <v>190.00000000000017</v>
      </c>
      <c r="AE18" s="106">
        <f t="shared" si="1"/>
        <v>20.000000000000018</v>
      </c>
      <c r="AF18" s="106">
        <f t="shared" si="1"/>
        <v>0</v>
      </c>
      <c r="AG18" s="106">
        <f t="shared" si="1"/>
        <v>0</v>
      </c>
      <c r="AH18" s="106">
        <f t="shared" si="1"/>
        <v>-999.99999999999977</v>
      </c>
      <c r="AI18" s="106">
        <f t="shared" si="1"/>
        <v>70.000000000000057</v>
      </c>
      <c r="AJ18" s="106">
        <f t="shared" si="1"/>
        <v>10.000000000000009</v>
      </c>
      <c r="AK18" s="106">
        <f t="shared" si="1"/>
        <v>20.000000000000018</v>
      </c>
      <c r="AL18" s="106">
        <f t="shared" si="1"/>
        <v>0</v>
      </c>
      <c r="AM18" s="106">
        <f t="shared" si="1"/>
        <v>0</v>
      </c>
      <c r="AN18" s="106" t="str">
        <f t="shared" si="1"/>
        <v>n.a.</v>
      </c>
      <c r="AO18" s="106"/>
      <c r="AP18" s="102" t="s">
        <v>369</v>
      </c>
    </row>
    <row r="19" spans="1:42" ht="15" customHeight="1" x14ac:dyDescent="0.15">
      <c r="A19" s="97" t="s">
        <v>370</v>
      </c>
      <c r="B19" s="100" t="str">
        <f>IF(NOT(ISNUMBER(B17)),"",IF(B17&gt;B16+Raw_Data!B209,"Beat",IF(B17&lt;B16-Raw_Data!B209,"Miss","In-line")))</f>
        <v>In-line</v>
      </c>
      <c r="C19" s="100" t="str">
        <f>IF(NOT(ISNUMBER(C17)),"",IF(C17&gt;C16+Raw_Data!C209,"Beat",IF(C17&lt;C16-Raw_Data!C209,"Miss","In-line")))</f>
        <v>In-line</v>
      </c>
      <c r="D19" s="100" t="str">
        <f>IF(NOT(ISNUMBER(D17)),"",IF(D17&gt;D16+Raw_Data!D209,"Beat",IF(D17&lt;D16-Raw_Data!D209,"Miss","In-line")))</f>
        <v>Beat</v>
      </c>
      <c r="E19" s="100" t="str">
        <f>IF(NOT(ISNUMBER(E17)),"",IF(E17&gt;E16+Raw_Data!E209,"Beat",IF(E17&lt;E16-Raw_Data!E209,"Miss","In-line")))</f>
        <v>Beat</v>
      </c>
      <c r="F19" s="100" t="str">
        <f>IF(NOT(ISNUMBER(F17)),"",IF(F17&gt;F16+Raw_Data!F209,"Beat",IF(F17&lt;F16-Raw_Data!F209,"Miss","In-line")))</f>
        <v>Beat</v>
      </c>
      <c r="G19" s="100" t="str">
        <f>IF(NOT(ISNUMBER(G17)),"",IF(G17&gt;G16+Raw_Data!G209,"Beat",IF(G17&lt;G16-Raw_Data!G209,"Miss","In-line")))</f>
        <v>In-line</v>
      </c>
      <c r="H19" s="100" t="str">
        <f>IF(NOT(ISNUMBER(H17)),"",IF(H17&gt;H16+Raw_Data!H209,"Beat",IF(H17&lt;H16-Raw_Data!H209,"Miss","In-line")))</f>
        <v>Miss</v>
      </c>
      <c r="I19" s="100" t="str">
        <f>IF(NOT(ISNUMBER(I17)),"",IF(I17&gt;I16+Raw_Data!I209,"Beat",IF(I17&lt;I16-Raw_Data!I209,"Miss","In-line")))</f>
        <v>Miss</v>
      </c>
      <c r="J19" s="100" t="str">
        <f>IF(NOT(ISNUMBER(J17)),"",IF(J17&gt;J16+Raw_Data!J209,"Beat",IF(J17&lt;J16-Raw_Data!J209,"Miss","In-line")))</f>
        <v>In-line</v>
      </c>
      <c r="K19" s="100" t="str">
        <f>IF(NOT(ISNUMBER(K17)),"",IF(K17&gt;K16+Raw_Data!K209,"Beat",IF(K17&lt;K16-Raw_Data!K209,"Miss","In-line")))</f>
        <v>Beat</v>
      </c>
      <c r="L19" s="100" t="str">
        <f>IF(NOT(ISNUMBER(L17)),"",IF(L17&gt;L16+Raw_Data!L209,"Beat",IF(L17&lt;L16-Raw_Data!L209,"Miss","In-line")))</f>
        <v>Beat</v>
      </c>
      <c r="M19" s="100" t="str">
        <f>IF(NOT(ISNUMBER(M17)),"",IF(M17&gt;M16+Raw_Data!M209,"Beat",IF(M17&lt;M16-Raw_Data!M209,"Miss","In-line")))</f>
        <v>Beat</v>
      </c>
      <c r="N19" s="100" t="str">
        <f>IF(NOT(ISNUMBER(N17)),"",IF(N17&gt;N16+Raw_Data!N209,"Beat",IF(N17&lt;N16-Raw_Data!N209,"Miss","In-line")))</f>
        <v>In-line</v>
      </c>
      <c r="O19" s="100" t="str">
        <f>IF(NOT(ISNUMBER(O17)),"",IF(O17&gt;O16+Raw_Data!O209,"Beat",IF(O17&lt;O16-Raw_Data!O209,"Miss","In-line")))</f>
        <v>In-line</v>
      </c>
      <c r="P19" s="100" t="str">
        <f>IF(NOT(ISNUMBER(P17)),"",IF(P17&gt;P16+Raw_Data!P209,"Beat",IF(P17&lt;P16-Raw_Data!P209,"Miss","In-line")))</f>
        <v>In-line</v>
      </c>
      <c r="Q19" s="100" t="str">
        <f>IF(NOT(ISNUMBER(Q17)),"",IF(Q17&gt;Q16+Raw_Data!Q209,"Beat",IF(Q17&lt;Q16-Raw_Data!Q209,"Miss","In-line")))</f>
        <v>In-line</v>
      </c>
      <c r="R19" s="100" t="str">
        <f>IF(NOT(ISNUMBER(R17)),"",IF(R17&gt;R16+Raw_Data!R209,"Beat",IF(R17&lt;R16-Raw_Data!R209,"Miss","In-line")))</f>
        <v>In-line</v>
      </c>
      <c r="S19" s="100" t="str">
        <f>IF(NOT(ISNUMBER(S17)),"",IF(S17&gt;S16+Raw_Data!S209,"Beat",IF(S17&lt;S16-Raw_Data!S209,"Miss","In-line")))</f>
        <v>In-line</v>
      </c>
      <c r="T19" s="100" t="str">
        <f>IF(NOT(ISNUMBER(T17)),"",IF(T17&gt;T16+Raw_Data!T209,"Beat",IF(T17&lt;T16-Raw_Data!T209,"Miss","In-line")))</f>
        <v>In-line</v>
      </c>
      <c r="U19" s="100" t="str">
        <f>IF(NOT(ISNUMBER(U17)),"",IF(U17&gt;U16+Raw_Data!U209,"Beat",IF(U17&lt;U16-Raw_Data!U209,"Miss","In-line")))</f>
        <v>In-line</v>
      </c>
      <c r="V19" s="100" t="str">
        <f>IF(NOT(ISNUMBER(V17)),"",IF(V17&gt;V16+Raw_Data!V209,"Beat",IF(V17&lt;V16-Raw_Data!V209,"Miss","In-line")))</f>
        <v>In-line</v>
      </c>
      <c r="W19" s="100" t="str">
        <f>IF(NOT(ISNUMBER(W17)),"",IF(W17&gt;W16+Raw_Data!W209,"Beat",IF(W17&lt;W16-Raw_Data!W209,"Miss","In-line")))</f>
        <v>Miss</v>
      </c>
      <c r="X19" s="100" t="str">
        <f>IF(NOT(ISNUMBER(X17)),"",IF(X17&gt;X16+Raw_Data!X209,"Beat",IF(X17&lt;X16-Raw_Data!X209,"Miss","In-line")))</f>
        <v>Miss</v>
      </c>
      <c r="Y19" s="100" t="str">
        <f>IF(NOT(ISNUMBER(Y17)),"",IF(Y17&gt;Y16+Raw_Data!Y209,"Beat",IF(Y17&lt;Y16-Raw_Data!Y209,"Miss","In-line")))</f>
        <v>In-line</v>
      </c>
      <c r="Z19" s="100" t="str">
        <f>IF(NOT(ISNUMBER(Z17)),"",IF(Z17&gt;Z16+Raw_Data!Z209,"Beat",IF(Z17&lt;Z16-Raw_Data!Z209,"Miss","In-line")))</f>
        <v>In-line</v>
      </c>
      <c r="AA19" s="100" t="str">
        <f>IF(NOT(ISNUMBER(AA17)),"",IF(AA17&gt;AA16+Raw_Data!AA209,"Beat",IF(AA17&lt;AA16-Raw_Data!AA209,"Miss","In-line")))</f>
        <v>Beat</v>
      </c>
      <c r="AB19" s="100" t="str">
        <f>IF(NOT(ISNUMBER(AB17)),"",IF(AB17&gt;AB16+Raw_Data!AB209,"Beat",IF(AB17&lt;AB16-Raw_Data!AB209,"Miss","In-line")))</f>
        <v>Beat</v>
      </c>
      <c r="AC19" s="100" t="str">
        <f>IF(NOT(ISNUMBER(AC17)),"",IF(AC17&gt;AC16+Raw_Data!AC209,"Beat",IF(AC17&lt;AC16-Raw_Data!AC209,"Miss","In-line")))</f>
        <v>Beat</v>
      </c>
      <c r="AD19" s="100" t="str">
        <f>IF(NOT(ISNUMBER(AD17)),"",IF(AD17&gt;AD16+Raw_Data!AD209,"Beat",IF(AD17&lt;AD16-Raw_Data!AD209,"Miss","In-line")))</f>
        <v>Beat</v>
      </c>
      <c r="AE19" s="100" t="str">
        <f>IF(NOT(ISNUMBER(AE17)),"",IF(AE17&gt;AE16+Raw_Data!AE209,"Beat",IF(AE17&lt;AE16-Raw_Data!AE209,"Miss","In-line")))</f>
        <v>In-line</v>
      </c>
      <c r="AF19" s="100" t="str">
        <f>IF(NOT(ISNUMBER(AF17)),"",IF(AF17&gt;AF16+Raw_Data!AF209,"Beat",IF(AF17&lt;AF16-Raw_Data!AF209,"Miss","In-line")))</f>
        <v>In-line</v>
      </c>
      <c r="AG19" s="100" t="str">
        <f>IF(NOT(ISNUMBER(AG17)),"",IF(AG17&gt;AG16+Raw_Data!AG209,"Beat",IF(AG17&lt;AG16-Raw_Data!AG209,"Miss","In-line")))</f>
        <v>In-line</v>
      </c>
      <c r="AH19" s="100" t="str">
        <f>IF(NOT(ISNUMBER(AH17)),"",IF(AH17&gt;AH16+Raw_Data!AH209,"Beat",IF(AH17&lt;AH16-Raw_Data!AH209,"Miss","In-line")))</f>
        <v>Miss</v>
      </c>
      <c r="AI19" s="100" t="str">
        <f>IF(NOT(ISNUMBER(AI17)),"",IF(AI17&gt;AI16+Raw_Data!AI209,"Beat",IF(AI17&lt;AI16-Raw_Data!AI209,"Miss","In-line")))</f>
        <v>Beat</v>
      </c>
      <c r="AJ19" s="100" t="str">
        <f>IF(NOT(ISNUMBER(AJ17)),"",IF(AJ17&gt;AJ16+Raw_Data!AJ209,"Beat",IF(AJ17&lt;AJ16-Raw_Data!AJ209,"Miss","In-line")))</f>
        <v>In-line</v>
      </c>
      <c r="AK19" s="100" t="str">
        <f>IF(NOT(ISNUMBER(AK17)),"",IF(AK17&gt;AK16+Raw_Data!AK209,"Beat",IF(AK17&lt;AK16-Raw_Data!AK209,"Miss","In-line")))</f>
        <v>In-line</v>
      </c>
      <c r="AL19" s="100" t="str">
        <f>IF(NOT(ISNUMBER(AL17)),"",IF(AL17&gt;AL16+Raw_Data!AL209,"Beat",IF(AL17&lt;AL16-Raw_Data!AL209,"Miss","In-line")))</f>
        <v>In-line</v>
      </c>
      <c r="AM19" s="100" t="str">
        <f>IF(NOT(ISNUMBER(AM17)),"",IF(AM17&gt;AM16+Raw_Data!AM209,"Beat",IF(AM17&lt;AM16-Raw_Data!AM209,"Miss","In-line")))</f>
        <v>In-line</v>
      </c>
      <c r="AN19" s="100" t="str">
        <f>IF(NOT(ISNUMBER(AN17)),"",IF(AN17&gt;AN16+Raw_Data!AN209,"Beat",IF(AN17&lt;AN16-Raw_Data!AN209,"Miss","In-line")))</f>
        <v/>
      </c>
      <c r="AO19" s="100"/>
      <c r="AP19" s="102" t="s">
        <v>376</v>
      </c>
    </row>
    <row r="20" spans="1:42" ht="15" customHeight="1" x14ac:dyDescent="0.15">
      <c r="A20" s="97" t="s">
        <v>377</v>
      </c>
      <c r="B20" s="105">
        <f>IF(Raw_Data!B208="","",Raw_Data!B208)</f>
        <v>0.59499999999999997</v>
      </c>
      <c r="C20" s="105">
        <f>IF(Raw_Data!C208="","",Raw_Data!C208)</f>
        <v>0.58399999999999996</v>
      </c>
      <c r="D20" s="105">
        <f>IF(Raw_Data!D208="","",Raw_Data!D208)</f>
        <v>0.58599999999999997</v>
      </c>
      <c r="E20" s="105">
        <f>IF(Raw_Data!E208="","",Raw_Data!E208)</f>
        <v>0.59699999999999998</v>
      </c>
      <c r="F20" s="105">
        <f>IF(Raw_Data!F208="","",Raw_Data!F208)</f>
        <v>0.627</v>
      </c>
      <c r="G20" s="105">
        <f>IF(Raw_Data!G208="","",Raw_Data!G208)</f>
        <v>0.63300000000000001</v>
      </c>
      <c r="H20" s="105">
        <f>IF(Raw_Data!H208="","",Raw_Data!H208)</f>
        <v>0.626</v>
      </c>
      <c r="I20" s="105">
        <f>IF(Raw_Data!I208="","",Raw_Data!I208)</f>
        <v>0.623</v>
      </c>
      <c r="J20" s="105">
        <f>IF(Raw_Data!J208="","",Raw_Data!J208)</f>
        <v>0.58799999999999997</v>
      </c>
      <c r="K20" s="105">
        <f>IF(Raw_Data!K208="","",Raw_Data!K208)</f>
        <v>0.59199999999999997</v>
      </c>
      <c r="L20" s="105">
        <f>IF(Raw_Data!L208="","",Raw_Data!L208)</f>
        <v>0.62</v>
      </c>
      <c r="M20" s="105">
        <f>IF(Raw_Data!M208="","",Raw_Data!M208)</f>
        <v>0.64100000000000001</v>
      </c>
      <c r="N20" s="105">
        <f>IF(Raw_Data!N208="","",Raw_Data!N208)</f>
        <v>0.65</v>
      </c>
      <c r="O20" s="105">
        <f>IF(Raw_Data!O208="","",Raw_Data!O208)</f>
        <v>0.58599999999999997</v>
      </c>
      <c r="P20" s="105">
        <f>IF(Raw_Data!P208="","",Raw_Data!P208)</f>
        <v>0.625</v>
      </c>
      <c r="Q20" s="105">
        <f>IF(Raw_Data!Q208="","",Raw_Data!Q208)</f>
        <v>0.628</v>
      </c>
      <c r="R20" s="105">
        <f>IF(Raw_Data!R208="","",Raw_Data!R208)</f>
        <v>0.63800000000000001</v>
      </c>
      <c r="S20" s="105">
        <f>IF(Raw_Data!S208="","",Raw_Data!S208)</f>
        <v>0.64600000000000002</v>
      </c>
      <c r="T20" s="105">
        <f>IF(Raw_Data!T208="","",Raw_Data!T208)</f>
        <v>0.65200000000000002</v>
      </c>
      <c r="U20" s="105">
        <f>IF(Raw_Data!U208="","",Raw_Data!U208)</f>
        <v>0.65300000000000002</v>
      </c>
      <c r="V20" s="105">
        <f>IF(Raw_Data!V208="","",Raw_Data!V208)</f>
        <v>0.65200000000000002</v>
      </c>
      <c r="W20" s="105">
        <f>IF(Raw_Data!W208="","",Raw_Data!W208)</f>
        <v>0.65100000000000002</v>
      </c>
      <c r="X20" s="105">
        <f>IF(Raw_Data!X208="","",Raw_Data!X208)</f>
        <v>0.624</v>
      </c>
      <c r="Y20" s="105">
        <f>IF(Raw_Data!Y208="","",Raw_Data!Y208)</f>
        <v>0.63200000000000001</v>
      </c>
      <c r="Z20" s="105">
        <f>IF(Raw_Data!Z208="","",Raw_Data!Z208)</f>
        <v>0.64100000000000001</v>
      </c>
      <c r="AA20" s="105">
        <f>IF(Raw_Data!AA208="","",Raw_Data!AA208)</f>
        <v>0.68600000000000005</v>
      </c>
      <c r="AB20" s="105">
        <f>IF(Raw_Data!AB208="","",Raw_Data!AB208)</f>
        <v>0.71499999999999997</v>
      </c>
      <c r="AC20" s="105">
        <f>IF(Raw_Data!AC208="","",Raw_Data!AC208)</f>
        <v>0.745</v>
      </c>
      <c r="AD20" s="105">
        <f>IF(Raw_Data!AD208="","",Raw_Data!AD208)</f>
        <v>0.76300000000000001</v>
      </c>
      <c r="AE20" s="105">
        <f>IF(Raw_Data!AE208="","",Raw_Data!AE208)</f>
        <v>0.748</v>
      </c>
      <c r="AF20" s="105">
        <f>IF(Raw_Data!AF208="","",Raw_Data!AF208)</f>
        <v>0.74399999999999999</v>
      </c>
      <c r="AG20" s="105">
        <f>IF(Raw_Data!AG208="","",Raw_Data!AG208)</f>
        <v>0.73</v>
      </c>
      <c r="AH20" s="105">
        <f>IF(Raw_Data!AH208="","",Raw_Data!AH208)</f>
        <v>0.70599999999999996</v>
      </c>
      <c r="AI20" s="105">
        <f>IF(Raw_Data!AI208="","",Raw_Data!AI208)</f>
        <v>0.71799999999999997</v>
      </c>
      <c r="AJ20" s="105">
        <f>IF(Raw_Data!AJ208="","",Raw_Data!AJ208)</f>
        <v>0.73299999999999998</v>
      </c>
      <c r="AK20" s="105">
        <f>IF(Raw_Data!AK208="","",Raw_Data!AK208)</f>
        <v>0.748</v>
      </c>
      <c r="AL20" s="105">
        <f>IF(Raw_Data!AL208="","",Raw_Data!AL208)</f>
        <v>0.749</v>
      </c>
      <c r="AM20" s="105">
        <f>IF(Raw_Data!AM208="","",Raw_Data!AM208)</f>
        <v>0.749</v>
      </c>
      <c r="AN20" s="105">
        <f>IF(Raw_Data!AN208="","",Raw_Data!AN208)</f>
        <v>0.74</v>
      </c>
      <c r="AO20" s="105"/>
      <c r="AP20" s="102" t="s">
        <v>378</v>
      </c>
    </row>
    <row r="21" spans="1:42" ht="15" customHeight="1" x14ac:dyDescent="0.15">
      <c r="A21" s="97" t="s">
        <v>366</v>
      </c>
      <c r="B21" s="103">
        <f>IF(OR(Raw_Data!B211="",Raw_Data!B206=""),"",Raw_Data!B211/Raw_Data!B206)</f>
        <v>0.59370160041300979</v>
      </c>
      <c r="C21" s="103">
        <f>IF(OR(Raw_Data!C211="",Raw_Data!C206=""),"",Raw_Data!C211/Raw_Data!C206)</f>
        <v>0.58385650224215246</v>
      </c>
      <c r="D21" s="103">
        <f>IF(OR(Raw_Data!D211="",Raw_Data!D206=""),"",Raw_Data!D211/Raw_Data!D206)</f>
        <v>0.59522003034901361</v>
      </c>
      <c r="E21" s="103">
        <f>IF(OR(Raw_Data!E211="",Raw_Data!E206=""),"",Raw_Data!E211/Raw_Data!E206)</f>
        <v>0.61868773617313633</v>
      </c>
      <c r="F21" s="103">
        <f>IF(OR(Raw_Data!F211="",Raw_Data!F206=""),"",Raw_Data!F211/Raw_Data!F206)</f>
        <v>0.6448394137823511</v>
      </c>
      <c r="G21" s="103">
        <f>IF(OR(Raw_Data!G211="",Raw_Data!G206=""),"",Raw_Data!G211/Raw_Data!G206)</f>
        <v>0.63240473903298111</v>
      </c>
      <c r="H21" s="103">
        <f>IF(OR(Raw_Data!H211="",Raw_Data!H206=""),"",Raw_Data!H211/Raw_Data!H206)</f>
        <v>0.60389814523734675</v>
      </c>
      <c r="I21" s="103">
        <f>IF(OR(Raw_Data!I211="",Raw_Data!I206=""),"",Raw_Data!I211/Raw_Data!I206)</f>
        <v>0.54739229024943314</v>
      </c>
      <c r="J21" s="103">
        <f>IF(OR(Raw_Data!J211="",Raw_Data!J206=""),"",Raw_Data!J211/Raw_Data!J206)</f>
        <v>0.58378378378378382</v>
      </c>
      <c r="K21" s="103">
        <f>IF(OR(Raw_Data!K211="",Raw_Data!K206=""),"",Raw_Data!K211/Raw_Data!K206)</f>
        <v>0.59751841799146954</v>
      </c>
      <c r="L21" s="103">
        <f>IF(OR(Raw_Data!L211="",Raw_Data!L206=""),"",Raw_Data!L211/Raw_Data!L206)</f>
        <v>0.63570006635700071</v>
      </c>
      <c r="M21" s="103">
        <f>IF(OR(Raw_Data!M211="",Raw_Data!M206=""),"",Raw_Data!M211/Raw_Data!M206)</f>
        <v>0.64895330112721417</v>
      </c>
      <c r="N21" s="103">
        <f>IF(OR(Raw_Data!N211="",Raw_Data!N206=""),"",Raw_Data!N211/Raw_Data!N206)</f>
        <v>0.6506493506493507</v>
      </c>
      <c r="O21" s="103">
        <f>IF(OR(Raw_Data!O211="",Raw_Data!O206=""),"",Raw_Data!O211/Raw_Data!O206)</f>
        <v>0.58846352819451631</v>
      </c>
      <c r="P21" s="103">
        <f>IF(OR(Raw_Data!P211="",Raw_Data!P206=""),"",Raw_Data!P211/Raw_Data!P206)</f>
        <v>0.62632247143461706</v>
      </c>
      <c r="Q21" s="103">
        <f>IF(OR(Raw_Data!Q211="",Raw_Data!Q206=""),"",Raw_Data!Q211/Raw_Data!Q206)</f>
        <v>0.63082150709574258</v>
      </c>
      <c r="R21" s="103">
        <f>IF(OR(Raw_Data!R211="",Raw_Data!R206=""),"",Raw_Data!R211/Raw_Data!R206)</f>
        <v>0.6410528175234057</v>
      </c>
      <c r="S21" s="103">
        <f>IF(OR(Raw_Data!S211="",Raw_Data!S206=""),"",Raw_Data!S211/Raw_Data!S206)</f>
        <v>0.64776394651913327</v>
      </c>
      <c r="T21" s="103">
        <f>IF(OR(Raw_Data!T211="",Raw_Data!T206=""),"",Raw_Data!T211/Raw_Data!T206)</f>
        <v>0.65197803744896521</v>
      </c>
      <c r="U21" s="103">
        <f>IF(OR(Raw_Data!U211="",Raw_Data!U206=""),"",Raw_Data!U211/Raw_Data!U206)</f>
        <v>0.65406254088708626</v>
      </c>
      <c r="V21" s="103">
        <f>IF(OR(Raw_Data!V211="",Raw_Data!V206=""),"",Raw_Data!V211/Raw_Data!V206)</f>
        <v>0.65528474903474898</v>
      </c>
      <c r="W21" s="103">
        <f>IF(OR(Raw_Data!W211="",Raw_Data!W206=""),"",Raw_Data!W211/Raw_Data!W206)</f>
        <v>0.43481503579952269</v>
      </c>
      <c r="X21" s="103">
        <f>IF(OR(Raw_Data!X211="",Raw_Data!X206=""),"",Raw_Data!X211/Raw_Data!X206)</f>
        <v>0.53566009104704093</v>
      </c>
      <c r="Y21" s="103">
        <f>IF(OR(Raw_Data!Y211="",Raw_Data!Y206=""),"",Raw_Data!Y211/Raw_Data!Y206)</f>
        <v>0.63344901669145592</v>
      </c>
      <c r="Z21" s="103">
        <f>IF(OR(Raw_Data!Z211="",Raw_Data!Z206=""),"",Raw_Data!Z211/Raw_Data!Z206)</f>
        <v>0.64627363737486099</v>
      </c>
      <c r="AA21" s="103">
        <f>IF(OR(Raw_Data!AA211="",Raw_Data!AA206=""),"",Raw_Data!AA211/Raw_Data!AA206)</f>
        <v>0.7005256533649219</v>
      </c>
      <c r="AB21" s="103">
        <f>IF(OR(Raw_Data!AB211="",Raw_Data!AB206=""),"",Raw_Data!AB211/Raw_Data!AB206)</f>
        <v>0.73951434878587197</v>
      </c>
      <c r="AC21" s="103">
        <f>IF(OR(Raw_Data!AC211="",Raw_Data!AC206=""),"",Raw_Data!AC211/Raw_Data!AC206)</f>
        <v>0.75967063294575399</v>
      </c>
      <c r="AD21" s="103">
        <f>IF(OR(Raw_Data!AD211="",Raw_Data!AD206=""),"",Raw_Data!AD211/Raw_Data!AD206)</f>
        <v>0.78352019659038552</v>
      </c>
      <c r="AE21" s="103">
        <f>IF(OR(Raw_Data!AE211="",Raw_Data!AE206=""),"",Raw_Data!AE211/Raw_Data!AE206)</f>
        <v>0.75146471371504664</v>
      </c>
      <c r="AF21" s="103">
        <f>IF(OR(Raw_Data!AF211="",Raw_Data!AF206=""),"",Raw_Data!AF211/Raw_Data!AF206)</f>
        <v>0.74556752750698363</v>
      </c>
      <c r="AG21" s="103">
        <f>IF(OR(Raw_Data!AG211="",Raw_Data!AG206=""),"",Raw_Data!AG211/Raw_Data!AG206)</f>
        <v>0.73028908494571709</v>
      </c>
      <c r="AH21" s="103">
        <f>IF(OR(Raw_Data!AH211="",Raw_Data!AH206=""),"",Raw_Data!AH211/Raw_Data!AH206)</f>
        <v>0.60523807362353044</v>
      </c>
      <c r="AI21" s="103">
        <f>IF(OR(Raw_Data!AI211="",Raw_Data!AI206=""),"",Raw_Data!AI211/Raw_Data!AI206)</f>
        <v>0.72423678411740799</v>
      </c>
      <c r="AJ21" s="103">
        <f>IF(OR(Raw_Data!AJ211="",Raw_Data!AJ206=""),"",Raw_Data!AJ211/Raw_Data!AJ206)</f>
        <v>0.7341157071185489</v>
      </c>
      <c r="AK21" s="103">
        <f>IF(OR(Raw_Data!AK211="",Raw_Data!AK206=""),"",Raw_Data!AK211/Raw_Data!AK206)</f>
        <v>0.74996697344665109</v>
      </c>
      <c r="AL21" s="103">
        <f>IF(OR(Raw_Data!AL211="",Raw_Data!AL206=""),"",Raw_Data!AL211/Raw_Data!AL206)</f>
        <v>0.74933529375727503</v>
      </c>
      <c r="AM21" s="103">
        <f>IF(OR(Raw_Data!AM211="",Raw_Data!AM206=""),"",Raw_Data!AM211/Raw_Data!AM206)</f>
        <v>0.74975317238440675</v>
      </c>
      <c r="AN21" s="103"/>
      <c r="AO21" s="103"/>
      <c r="AP21" s="102" t="s">
        <v>379</v>
      </c>
    </row>
    <row r="22" spans="1:42" ht="15" customHeight="1" x14ac:dyDescent="0.15">
      <c r="A22" s="97" t="s">
        <v>375</v>
      </c>
      <c r="B22" s="106">
        <f t="shared" ref="B22:AN22" si="2">IF(NOT(ISNUMBER(B21)),"n.a.",(B21-B20)*10000)</f>
        <v>-12.983995869901843</v>
      </c>
      <c r="C22" s="106">
        <f t="shared" si="2"/>
        <v>-1.4349775784749941</v>
      </c>
      <c r="D22" s="106">
        <f t="shared" si="2"/>
        <v>92.20030349013642</v>
      </c>
      <c r="E22" s="106">
        <f t="shared" si="2"/>
        <v>216.87736173136352</v>
      </c>
      <c r="F22" s="106">
        <f t="shared" si="2"/>
        <v>178.39413782351099</v>
      </c>
      <c r="G22" s="106">
        <f t="shared" si="2"/>
        <v>-5.9526096701889575</v>
      </c>
      <c r="H22" s="106">
        <f t="shared" si="2"/>
        <v>-221.0185476265325</v>
      </c>
      <c r="I22" s="106">
        <f t="shared" si="2"/>
        <v>-756.07709750566858</v>
      </c>
      <c r="J22" s="106">
        <f t="shared" si="2"/>
        <v>-42.162162162161508</v>
      </c>
      <c r="K22" s="106">
        <f t="shared" si="2"/>
        <v>55.184179914695704</v>
      </c>
      <c r="L22" s="106">
        <f t="shared" si="2"/>
        <v>157.00066357000719</v>
      </c>
      <c r="M22" s="106">
        <f t="shared" si="2"/>
        <v>79.533011272141522</v>
      </c>
      <c r="N22" s="106">
        <f t="shared" si="2"/>
        <v>6.4935064935067732</v>
      </c>
      <c r="O22" s="106">
        <f t="shared" si="2"/>
        <v>24.635281945163399</v>
      </c>
      <c r="P22" s="106">
        <f t="shared" si="2"/>
        <v>13.224714346170563</v>
      </c>
      <c r="Q22" s="106">
        <f t="shared" si="2"/>
        <v>28.215070957425816</v>
      </c>
      <c r="R22" s="106">
        <f t="shared" si="2"/>
        <v>30.528175234056931</v>
      </c>
      <c r="S22" s="106">
        <f t="shared" si="2"/>
        <v>17.639465191332526</v>
      </c>
      <c r="T22" s="106">
        <f t="shared" si="2"/>
        <v>-0.2196255103481537</v>
      </c>
      <c r="U22" s="106">
        <f t="shared" si="2"/>
        <v>10.625408870862385</v>
      </c>
      <c r="V22" s="106">
        <f t="shared" si="2"/>
        <v>32.847490347489568</v>
      </c>
      <c r="W22" s="106">
        <f t="shared" si="2"/>
        <v>-2161.8496420047732</v>
      </c>
      <c r="X22" s="106">
        <f t="shared" si="2"/>
        <v>-883.3990895295907</v>
      </c>
      <c r="Y22" s="106">
        <f t="shared" si="2"/>
        <v>14.490166914559177</v>
      </c>
      <c r="Z22" s="106">
        <f t="shared" si="2"/>
        <v>52.736373748609736</v>
      </c>
      <c r="AA22" s="106">
        <f t="shared" si="2"/>
        <v>145.25653364921843</v>
      </c>
      <c r="AB22" s="106">
        <f t="shared" si="2"/>
        <v>245.14348785871996</v>
      </c>
      <c r="AC22" s="106">
        <f t="shared" si="2"/>
        <v>146.70632945753991</v>
      </c>
      <c r="AD22" s="106">
        <f t="shared" si="2"/>
        <v>205.2019659038551</v>
      </c>
      <c r="AE22" s="106">
        <f t="shared" si="2"/>
        <v>34.647137150466413</v>
      </c>
      <c r="AF22" s="106">
        <f t="shared" si="2"/>
        <v>15.675275069836347</v>
      </c>
      <c r="AG22" s="106">
        <f t="shared" si="2"/>
        <v>2.8908494571711074</v>
      </c>
      <c r="AH22" s="106">
        <f t="shared" si="2"/>
        <v>-1007.6192637646952</v>
      </c>
      <c r="AI22" s="106">
        <f t="shared" si="2"/>
        <v>62.367841174080226</v>
      </c>
      <c r="AJ22" s="106">
        <f t="shared" si="2"/>
        <v>11.157071185489142</v>
      </c>
      <c r="AK22" s="106">
        <f t="shared" si="2"/>
        <v>19.669734466510882</v>
      </c>
      <c r="AL22" s="106">
        <f t="shared" si="2"/>
        <v>3.3529375727503474</v>
      </c>
      <c r="AM22" s="106">
        <f t="shared" si="2"/>
        <v>7.5317238440675283</v>
      </c>
      <c r="AN22" s="106" t="str">
        <f t="shared" si="2"/>
        <v>n.a.</v>
      </c>
      <c r="AO22" s="106"/>
      <c r="AP22" s="102" t="s">
        <v>369</v>
      </c>
    </row>
    <row r="23" spans="1:42" ht="15" customHeight="1" x14ac:dyDescent="0.15">
      <c r="A23" s="97" t="s">
        <v>370</v>
      </c>
      <c r="B23" s="100" t="str">
        <f>IF(NOT(ISNUMBER(B21)),"",IF(B21&gt;B20+Raw_Data!B209,"Beat",IF(B21&lt;B20-Raw_Data!B209,"Miss","In-line")))</f>
        <v>In-line</v>
      </c>
      <c r="C23" s="100" t="str">
        <f>IF(NOT(ISNUMBER(C21)),"",IF(C21&gt;C20+Raw_Data!C209,"Beat",IF(C21&lt;C20-Raw_Data!C209,"Miss","In-line")))</f>
        <v>In-line</v>
      </c>
      <c r="D23" s="100" t="str">
        <f>IF(NOT(ISNUMBER(D21)),"",IF(D21&gt;D20+Raw_Data!D209,"Beat",IF(D21&lt;D20-Raw_Data!D209,"Miss","In-line")))</f>
        <v>Beat</v>
      </c>
      <c r="E23" s="100" t="str">
        <f>IF(NOT(ISNUMBER(E21)),"",IF(E21&gt;E20+Raw_Data!E209,"Beat",IF(E21&lt;E20-Raw_Data!E209,"Miss","In-line")))</f>
        <v>Beat</v>
      </c>
      <c r="F23" s="100" t="str">
        <f>IF(NOT(ISNUMBER(F21)),"",IF(F21&gt;F20+Raw_Data!F209,"Beat",IF(F21&lt;F20-Raw_Data!F209,"Miss","In-line")))</f>
        <v>Beat</v>
      </c>
      <c r="G23" s="100" t="str">
        <f>IF(NOT(ISNUMBER(G21)),"",IF(G21&gt;G20+Raw_Data!G209,"Beat",IF(G21&lt;G20-Raw_Data!G209,"Miss","In-line")))</f>
        <v>In-line</v>
      </c>
      <c r="H23" s="100" t="str">
        <f>IF(NOT(ISNUMBER(H21)),"",IF(H21&gt;H20+Raw_Data!H209,"Beat",IF(H21&lt;H20-Raw_Data!H209,"Miss","In-line")))</f>
        <v>Miss</v>
      </c>
      <c r="I23" s="100" t="str">
        <f>IF(NOT(ISNUMBER(I21)),"",IF(I21&gt;I20+Raw_Data!I209,"Beat",IF(I21&lt;I20-Raw_Data!I209,"Miss","In-line")))</f>
        <v>Miss</v>
      </c>
      <c r="J23" s="100" t="str">
        <f>IF(NOT(ISNUMBER(J21)),"",IF(J21&gt;J20+Raw_Data!J209,"Beat",IF(J21&lt;J20-Raw_Data!J209,"Miss","In-line")))</f>
        <v>In-line</v>
      </c>
      <c r="K23" s="100" t="str">
        <f>IF(NOT(ISNUMBER(K21)),"",IF(K21&gt;K20+Raw_Data!K209,"Beat",IF(K21&lt;K20-Raw_Data!K209,"Miss","In-line")))</f>
        <v>Beat</v>
      </c>
      <c r="L23" s="100" t="str">
        <f>IF(NOT(ISNUMBER(L21)),"",IF(L21&gt;L20+Raw_Data!L209,"Beat",IF(L21&lt;L20-Raw_Data!L209,"Miss","In-line")))</f>
        <v>Beat</v>
      </c>
      <c r="M23" s="100" t="str">
        <f>IF(NOT(ISNUMBER(M21)),"",IF(M21&gt;M20+Raw_Data!M209,"Beat",IF(M21&lt;M20-Raw_Data!M209,"Miss","In-line")))</f>
        <v>Beat</v>
      </c>
      <c r="N23" s="100" t="str">
        <f>IF(NOT(ISNUMBER(N21)),"",IF(N21&gt;N20+Raw_Data!N209,"Beat",IF(N21&lt;N20-Raw_Data!N209,"Miss","In-line")))</f>
        <v>In-line</v>
      </c>
      <c r="O23" s="100" t="str">
        <f>IF(NOT(ISNUMBER(O21)),"",IF(O21&gt;O20+Raw_Data!O209,"Beat",IF(O21&lt;O20-Raw_Data!O209,"Miss","In-line")))</f>
        <v>In-line</v>
      </c>
      <c r="P23" s="100" t="str">
        <f>IF(NOT(ISNUMBER(P21)),"",IF(P21&gt;P20+Raw_Data!P209,"Beat",IF(P21&lt;P20-Raw_Data!P209,"Miss","In-line")))</f>
        <v>In-line</v>
      </c>
      <c r="Q23" s="100" t="str">
        <f>IF(NOT(ISNUMBER(Q21)),"",IF(Q21&gt;Q20+Raw_Data!Q209,"Beat",IF(Q21&lt;Q20-Raw_Data!Q209,"Miss","In-line")))</f>
        <v>In-line</v>
      </c>
      <c r="R23" s="100" t="str">
        <f>IF(NOT(ISNUMBER(R21)),"",IF(R21&gt;R20+Raw_Data!R209,"Beat",IF(R21&lt;R20-Raw_Data!R209,"Miss","In-line")))</f>
        <v>In-line</v>
      </c>
      <c r="S23" s="100" t="str">
        <f>IF(NOT(ISNUMBER(S21)),"",IF(S21&gt;S20+Raw_Data!S209,"Beat",IF(S21&lt;S20-Raw_Data!S209,"Miss","In-line")))</f>
        <v>In-line</v>
      </c>
      <c r="T23" s="100" t="str">
        <f>IF(NOT(ISNUMBER(T21)),"",IF(T21&gt;T20+Raw_Data!T209,"Beat",IF(T21&lt;T20-Raw_Data!T209,"Miss","In-line")))</f>
        <v>In-line</v>
      </c>
      <c r="U23" s="100" t="str">
        <f>IF(NOT(ISNUMBER(U21)),"",IF(U21&gt;U20+Raw_Data!U209,"Beat",IF(U21&lt;U20-Raw_Data!U209,"Miss","In-line")))</f>
        <v>In-line</v>
      </c>
      <c r="V23" s="100" t="str">
        <f>IF(NOT(ISNUMBER(V21)),"",IF(V21&gt;V20+Raw_Data!V209,"Beat",IF(V21&lt;V20-Raw_Data!V209,"Miss","In-line")))</f>
        <v>In-line</v>
      </c>
      <c r="W23" s="100" t="str">
        <f>IF(NOT(ISNUMBER(W21)),"",IF(W21&gt;W20+Raw_Data!W209,"Beat",IF(W21&lt;W20-Raw_Data!W209,"Miss","In-line")))</f>
        <v>Miss</v>
      </c>
      <c r="X23" s="100" t="str">
        <f>IF(NOT(ISNUMBER(X21)),"",IF(X21&gt;X20+Raw_Data!X209,"Beat",IF(X21&lt;X20-Raw_Data!X209,"Miss","In-line")))</f>
        <v>Miss</v>
      </c>
      <c r="Y23" s="100" t="str">
        <f>IF(NOT(ISNUMBER(Y21)),"",IF(Y21&gt;Y20+Raw_Data!Y209,"Beat",IF(Y21&lt;Y20-Raw_Data!Y209,"Miss","In-line")))</f>
        <v>In-line</v>
      </c>
      <c r="Z23" s="100" t="str">
        <f>IF(NOT(ISNUMBER(Z21)),"",IF(Z21&gt;Z20+Raw_Data!Z209,"Beat",IF(Z21&lt;Z20-Raw_Data!Z209,"Miss","In-line")))</f>
        <v>Beat</v>
      </c>
      <c r="AA23" s="100" t="str">
        <f>IF(NOT(ISNUMBER(AA21)),"",IF(AA21&gt;AA20+Raw_Data!AA209,"Beat",IF(AA21&lt;AA20-Raw_Data!AA209,"Miss","In-line")))</f>
        <v>Beat</v>
      </c>
      <c r="AB23" s="100" t="str">
        <f>IF(NOT(ISNUMBER(AB21)),"",IF(AB21&gt;AB20+Raw_Data!AB209,"Beat",IF(AB21&lt;AB20-Raw_Data!AB209,"Miss","In-line")))</f>
        <v>Beat</v>
      </c>
      <c r="AC23" s="100" t="str">
        <f>IF(NOT(ISNUMBER(AC21)),"",IF(AC21&gt;AC20+Raw_Data!AC209,"Beat",IF(AC21&lt;AC20-Raw_Data!AC209,"Miss","In-line")))</f>
        <v>Beat</v>
      </c>
      <c r="AD23" s="100" t="str">
        <f>IF(NOT(ISNUMBER(AD21)),"",IF(AD21&gt;AD20+Raw_Data!AD209,"Beat",IF(AD21&lt;AD20-Raw_Data!AD209,"Miss","In-line")))</f>
        <v>Beat</v>
      </c>
      <c r="AE23" s="100" t="str">
        <f>IF(NOT(ISNUMBER(AE21)),"",IF(AE21&gt;AE20+Raw_Data!AE209,"Beat",IF(AE21&lt;AE20-Raw_Data!AE209,"Miss","In-line")))</f>
        <v>In-line</v>
      </c>
      <c r="AF23" s="100" t="str">
        <f>IF(NOT(ISNUMBER(AF21)),"",IF(AF21&gt;AF20+Raw_Data!AF209,"Beat",IF(AF21&lt;AF20-Raw_Data!AF209,"Miss","In-line")))</f>
        <v>In-line</v>
      </c>
      <c r="AG23" s="100" t="str">
        <f>IF(NOT(ISNUMBER(AG21)),"",IF(AG21&gt;AG20+Raw_Data!AG209,"Beat",IF(AG21&lt;AG20-Raw_Data!AG209,"Miss","In-line")))</f>
        <v>In-line</v>
      </c>
      <c r="AH23" s="100" t="str">
        <f>IF(NOT(ISNUMBER(AH21)),"",IF(AH21&gt;AH20+Raw_Data!AH209,"Beat",IF(AH21&lt;AH20-Raw_Data!AH209,"Miss","In-line")))</f>
        <v>Miss</v>
      </c>
      <c r="AI23" s="100" t="str">
        <f>IF(NOT(ISNUMBER(AI21)),"",IF(AI21&gt;AI20+Raw_Data!AI209,"Beat",IF(AI21&lt;AI20-Raw_Data!AI209,"Miss","In-line")))</f>
        <v>Beat</v>
      </c>
      <c r="AJ23" s="100" t="str">
        <f>IF(NOT(ISNUMBER(AJ21)),"",IF(AJ21&gt;AJ20+Raw_Data!AJ209,"Beat",IF(AJ21&lt;AJ20-Raw_Data!AJ209,"Miss","In-line")))</f>
        <v>In-line</v>
      </c>
      <c r="AK23" s="100" t="str">
        <f>IF(NOT(ISNUMBER(AK21)),"",IF(AK21&gt;AK20+Raw_Data!AK209,"Beat",IF(AK21&lt;AK20-Raw_Data!AK209,"Miss","In-line")))</f>
        <v>In-line</v>
      </c>
      <c r="AL23" s="100" t="str">
        <f>IF(NOT(ISNUMBER(AL21)),"",IF(AL21&gt;AL20+Raw_Data!AL209,"Beat",IF(AL21&lt;AL20-Raw_Data!AL209,"Miss","In-line")))</f>
        <v>In-line</v>
      </c>
      <c r="AM23" s="100" t="str">
        <f>IF(NOT(ISNUMBER(AM21)),"",IF(AM21&gt;AM20+Raw_Data!AM209,"Beat",IF(AM21&lt;AM20-Raw_Data!AM209,"Miss","In-line")))</f>
        <v>In-line</v>
      </c>
      <c r="AN23" s="100" t="str">
        <f>IF(NOT(ISNUMBER(AN21)),"",IF(AN21&gt;AN20+Raw_Data!AN209,"Beat",IF(AN21&lt;AN20-Raw_Data!AN209,"Miss","In-line")))</f>
        <v/>
      </c>
      <c r="AO23" s="100"/>
      <c r="AP23" s="102" t="s">
        <v>376</v>
      </c>
    </row>
    <row r="25" spans="1:42" ht="15" customHeight="1" x14ac:dyDescent="0.15">
      <c r="A25" s="96" t="s">
        <v>380</v>
      </c>
    </row>
    <row r="26" spans="1:42" ht="15" customHeight="1" x14ac:dyDescent="0.15">
      <c r="A26" s="97" t="s">
        <v>381</v>
      </c>
      <c r="B26" s="101">
        <f>IF(Raw_Data!B212="","",Raw_Data!B212)</f>
        <v>520</v>
      </c>
      <c r="C26" s="101">
        <f>IF(Raw_Data!C212="","",Raw_Data!C212)</f>
        <v>530</v>
      </c>
      <c r="D26" s="101">
        <f>IF(Raw_Data!D212="","",Raw_Data!D212)</f>
        <v>570</v>
      </c>
      <c r="E26" s="101">
        <f>IF(Raw_Data!E212="","",Raw_Data!E212)</f>
        <v>600</v>
      </c>
      <c r="F26" s="101">
        <f>IF(Raw_Data!F212="","",Raw_Data!F212)</f>
        <v>645</v>
      </c>
      <c r="G26" s="101">
        <f>IF(Raw_Data!G212="","",Raw_Data!G212)</f>
        <v>685</v>
      </c>
      <c r="H26" s="101">
        <f>IF(Raw_Data!H212="","",Raw_Data!H212)</f>
        <v>730</v>
      </c>
      <c r="I26" s="101">
        <f>IF(Raw_Data!I212="","",Raw_Data!I212)</f>
        <v>755</v>
      </c>
      <c r="J26" s="101">
        <f>IF(Raw_Data!J212="","",Raw_Data!J212)</f>
        <v>755</v>
      </c>
      <c r="K26" s="101">
        <f>IF(Raw_Data!K212="","",Raw_Data!K212)</f>
        <v>765</v>
      </c>
      <c r="L26" s="101">
        <f>IF(Raw_Data!L212="","",Raw_Data!L212)</f>
        <v>765</v>
      </c>
      <c r="M26" s="101">
        <f>IF(Raw_Data!M212="","",Raw_Data!M212)</f>
        <v>805</v>
      </c>
      <c r="N26" s="101">
        <f>IF(Raw_Data!N212="","",Raw_Data!N212)</f>
        <v>835</v>
      </c>
      <c r="O26" s="101">
        <f>IF(Raw_Data!O212="","",Raw_Data!O212)</f>
        <v>1040</v>
      </c>
      <c r="P26" s="101">
        <f>IF(Raw_Data!P212="","",Raw_Data!P212)</f>
        <v>1090</v>
      </c>
      <c r="Q26" s="101">
        <f>IF(Raw_Data!Q212="","",Raw_Data!Q212)</f>
        <v>1180</v>
      </c>
      <c r="R26" s="101">
        <f>IF(Raw_Data!R212="","",Raw_Data!R212)</f>
        <v>1200</v>
      </c>
      <c r="S26" s="101">
        <f>IF(Raw_Data!S212="","",Raw_Data!S212)</f>
        <v>1260</v>
      </c>
      <c r="T26" s="101">
        <f>IF(Raw_Data!T212="","",Raw_Data!T212)</f>
        <v>1370</v>
      </c>
      <c r="U26" s="101">
        <f>IF(Raw_Data!U212="","",Raw_Data!U212)</f>
        <v>1430</v>
      </c>
      <c r="V26" s="101">
        <f>IF(Raw_Data!V212="","",Raw_Data!V212)</f>
        <v>1600</v>
      </c>
      <c r="W26" s="101">
        <f>IF(Raw_Data!W212="","",Raw_Data!W212)</f>
        <v>1750</v>
      </c>
      <c r="X26" s="101">
        <f>IF(Raw_Data!X212="","",Raw_Data!X212)</f>
        <v>1820</v>
      </c>
      <c r="Y26" s="101">
        <f>IF(Raw_Data!Y212="","",Raw_Data!Y212)</f>
        <v>1780</v>
      </c>
      <c r="Z26" s="101">
        <f>IF(Raw_Data!Z212="","",Raw_Data!Z212)</f>
        <v>1780</v>
      </c>
      <c r="AA26" s="101">
        <f>IF(Raw_Data!AA212="","",Raw_Data!AA212)</f>
        <v>1900</v>
      </c>
      <c r="AB26" s="101">
        <f>IF(Raw_Data!AB212="","",Raw_Data!AB212)</f>
        <v>2000</v>
      </c>
      <c r="AC26" s="101">
        <f>IF(Raw_Data!AC212="","",Raw_Data!AC212)</f>
        <v>2200</v>
      </c>
      <c r="AD26" s="101">
        <f>IF(Raw_Data!AD212="","",Raw_Data!AD212)</f>
        <v>2500</v>
      </c>
      <c r="AE26" s="101">
        <f>IF(Raw_Data!AE212="","",Raw_Data!AE212)</f>
        <v>2800</v>
      </c>
      <c r="AF26" s="101">
        <f>IF(Raw_Data!AF212="","",Raw_Data!AF212)</f>
        <v>3000</v>
      </c>
      <c r="AG26" s="101">
        <f>IF(Raw_Data!AG212="","",Raw_Data!AG212)</f>
        <v>3400</v>
      </c>
      <c r="AH26" s="101">
        <f>IF(Raw_Data!AH212="","",Raw_Data!AH212)</f>
        <v>3600</v>
      </c>
      <c r="AI26" s="101">
        <f>IF(Raw_Data!AI212="","",Raw_Data!AI212)</f>
        <v>4000</v>
      </c>
      <c r="AJ26" s="101">
        <f>IF(Raw_Data!AJ212="","",Raw_Data!AJ212)</f>
        <v>4200</v>
      </c>
      <c r="AK26" s="101">
        <f>IF(Raw_Data!AK212="","",Raw_Data!AK212)</f>
        <v>5000</v>
      </c>
      <c r="AL26" s="101">
        <f>IF(Raw_Data!AL212="","",Raw_Data!AL212)</f>
        <v>7500</v>
      </c>
      <c r="AM26" s="101">
        <f>IF(Raw_Data!AM212="","",Raw_Data!AM212)</f>
        <v>8300</v>
      </c>
      <c r="AN26" s="101">
        <f>IF(Raw_Data!AN212="","",Raw_Data!AN212)</f>
        <v>9000</v>
      </c>
      <c r="AO26" s="101"/>
      <c r="AP26" s="102" t="s">
        <v>382</v>
      </c>
    </row>
    <row r="27" spans="1:42" ht="15" customHeight="1" x14ac:dyDescent="0.15">
      <c r="A27" s="97" t="s">
        <v>366</v>
      </c>
      <c r="B27" s="101">
        <f>IF(Raw_Data!B213="","",Raw_Data!B213)</f>
        <v>517</v>
      </c>
      <c r="C27" s="101">
        <f>IF(Raw_Data!C213="","",Raw_Data!C213)</f>
        <v>533</v>
      </c>
      <c r="D27" s="101">
        <f>IF(Raw_Data!D213="","",Raw_Data!D213)</f>
        <v>570</v>
      </c>
      <c r="E27" s="101">
        <f>IF(Raw_Data!E213="","",Raw_Data!E213)</f>
        <v>607</v>
      </c>
      <c r="F27" s="101">
        <f>IF(Raw_Data!F213="","",Raw_Data!F213)</f>
        <v>648</v>
      </c>
      <c r="G27" s="101">
        <f>IF(Raw_Data!G213="","",Raw_Data!G213)</f>
        <v>692</v>
      </c>
      <c r="H27" s="101">
        <f>IF(Raw_Data!H213="","",Raw_Data!H213)</f>
        <v>730</v>
      </c>
      <c r="I27" s="101">
        <f>IF(Raw_Data!I213="","",Raw_Data!I213)</f>
        <v>755</v>
      </c>
      <c r="J27" s="101">
        <f>IF(Raw_Data!J213="","",Raw_Data!J213)</f>
        <v>753</v>
      </c>
      <c r="K27" s="101">
        <f>IF(Raw_Data!K213="","",Raw_Data!K213)</f>
        <v>749</v>
      </c>
      <c r="L27" s="101">
        <f>IF(Raw_Data!L213="","",Raw_Data!L213)</f>
        <v>774</v>
      </c>
      <c r="M27" s="101">
        <f>IF(Raw_Data!M213="","",Raw_Data!M213)</f>
        <v>810</v>
      </c>
      <c r="N27" s="101">
        <f>IF(Raw_Data!N213="","",Raw_Data!N213)</f>
        <v>821</v>
      </c>
      <c r="O27" s="101">
        <f>IF(Raw_Data!O213="","",Raw_Data!O213)</f>
        <v>1035</v>
      </c>
      <c r="P27" s="101">
        <f>IF(Raw_Data!P213="","",Raw_Data!P213)</f>
        <v>1101</v>
      </c>
      <c r="Q27" s="101">
        <f>IF(Raw_Data!Q213="","",Raw_Data!Q213)</f>
        <v>1187</v>
      </c>
      <c r="R27" s="101">
        <f>IF(Raw_Data!R213="","",Raw_Data!R213)</f>
        <v>1189</v>
      </c>
      <c r="S27" s="101">
        <f>IF(Raw_Data!S213="","",Raw_Data!S213)</f>
        <v>1266</v>
      </c>
      <c r="T27" s="101">
        <f>IF(Raw_Data!T213="","",Raw_Data!T213)</f>
        <v>1375</v>
      </c>
      <c r="U27" s="101">
        <f>IF(Raw_Data!U213="","",Raw_Data!U213)</f>
        <v>1447</v>
      </c>
      <c r="V27" s="101">
        <f>IF(Raw_Data!V213="","",Raw_Data!V213)</f>
        <v>1608</v>
      </c>
      <c r="W27" s="101">
        <f>IF(Raw_Data!W213="","",Raw_Data!W213)</f>
        <v>1749</v>
      </c>
      <c r="X27" s="101">
        <f>IF(Raw_Data!X213="","",Raw_Data!X213)</f>
        <v>1793</v>
      </c>
      <c r="Y27" s="101">
        <f>IF(Raw_Data!Y213="","",Raw_Data!Y213)</f>
        <v>1775</v>
      </c>
      <c r="Z27" s="101">
        <f>IF(Raw_Data!Z213="","",Raw_Data!Z213)</f>
        <v>1750</v>
      </c>
      <c r="AA27" s="101">
        <f>IF(Raw_Data!AA213="","",Raw_Data!AA213)</f>
        <v>1838</v>
      </c>
      <c r="AB27" s="101">
        <f>IF(Raw_Data!AB213="","",Raw_Data!AB213)</f>
        <v>2026</v>
      </c>
      <c r="AC27" s="101">
        <f>IF(Raw_Data!AC213="","",Raw_Data!AC213)</f>
        <v>2210</v>
      </c>
      <c r="AD27" s="101">
        <f>IF(Raw_Data!AD213="","",Raw_Data!AD213)</f>
        <v>2501</v>
      </c>
      <c r="AE27" s="101">
        <f>IF(Raw_Data!AE213="","",Raw_Data!AE213)</f>
        <v>2792</v>
      </c>
      <c r="AF27" s="101">
        <f>IF(Raw_Data!AF213="","",Raw_Data!AF213)</f>
        <v>3046</v>
      </c>
      <c r="AG27" s="101">
        <f>IF(Raw_Data!AG213="","",Raw_Data!AG213)</f>
        <v>3378</v>
      </c>
      <c r="AH27" s="101">
        <f>IF(Raw_Data!AH213="","",Raw_Data!AH213)</f>
        <v>3583</v>
      </c>
      <c r="AI27" s="101">
        <f>IF(Raw_Data!AI213="","",Raw_Data!AI213)</f>
        <v>3795</v>
      </c>
      <c r="AJ27" s="101">
        <f>IF(Raw_Data!AJ213="","",Raw_Data!AJ213)</f>
        <v>4215</v>
      </c>
      <c r="AK27" s="101">
        <f>IF(Raw_Data!AK213="","",Raw_Data!AK213)</f>
        <v>5102</v>
      </c>
      <c r="AL27" s="101">
        <f>IF(Raw_Data!AL213="","",Raw_Data!AL213)</f>
        <v>7449</v>
      </c>
      <c r="AM27" s="101">
        <f>IF(Raw_Data!AM213="","",Raw_Data!AM213)</f>
        <v>8232</v>
      </c>
      <c r="AN27" s="101"/>
      <c r="AO27" s="101"/>
      <c r="AP27" s="102" t="s">
        <v>367</v>
      </c>
    </row>
    <row r="28" spans="1:42" ht="15" customHeight="1" x14ac:dyDescent="0.15">
      <c r="A28" s="97" t="s">
        <v>383</v>
      </c>
      <c r="B28" s="103">
        <f t="shared" ref="B28:AM28" si="3">IF(NOT(ISNUMBER(B27)),"n.a.",B27/B26-1)</f>
        <v>-5.7692307692307487E-3</v>
      </c>
      <c r="C28" s="103">
        <f t="shared" si="3"/>
        <v>5.6603773584906758E-3</v>
      </c>
      <c r="D28" s="103">
        <f t="shared" si="3"/>
        <v>0</v>
      </c>
      <c r="E28" s="103">
        <f t="shared" si="3"/>
        <v>1.1666666666666714E-2</v>
      </c>
      <c r="F28" s="103">
        <f t="shared" si="3"/>
        <v>4.6511627906977715E-3</v>
      </c>
      <c r="G28" s="103">
        <f t="shared" si="3"/>
        <v>1.0218978102189746E-2</v>
      </c>
      <c r="H28" s="103">
        <f t="shared" si="3"/>
        <v>0</v>
      </c>
      <c r="I28" s="103">
        <f t="shared" si="3"/>
        <v>0</v>
      </c>
      <c r="J28" s="103">
        <f t="shared" si="3"/>
        <v>-2.6490066225165476E-3</v>
      </c>
      <c r="K28" s="103">
        <f t="shared" si="3"/>
        <v>-2.0915032679738599E-2</v>
      </c>
      <c r="L28" s="103">
        <f t="shared" si="3"/>
        <v>1.1764705882352899E-2</v>
      </c>
      <c r="M28" s="103">
        <f t="shared" si="3"/>
        <v>6.2111801242235032E-3</v>
      </c>
      <c r="N28" s="103">
        <f t="shared" si="3"/>
        <v>-1.6766467065868262E-2</v>
      </c>
      <c r="O28" s="103">
        <f t="shared" si="3"/>
        <v>-4.8076923076922906E-3</v>
      </c>
      <c r="P28" s="103">
        <f t="shared" si="3"/>
        <v>1.0091743119265972E-2</v>
      </c>
      <c r="Q28" s="103">
        <f t="shared" si="3"/>
        <v>5.9322033898305815E-3</v>
      </c>
      <c r="R28" s="103">
        <f t="shared" si="3"/>
        <v>-9.1666666666666563E-3</v>
      </c>
      <c r="S28" s="103">
        <f t="shared" si="3"/>
        <v>4.761904761904745E-3</v>
      </c>
      <c r="T28" s="103">
        <f t="shared" si="3"/>
        <v>3.6496350364962904E-3</v>
      </c>
      <c r="U28" s="103">
        <f t="shared" si="3"/>
        <v>1.1888111888111785E-2</v>
      </c>
      <c r="V28" s="103">
        <f t="shared" si="3"/>
        <v>4.9999999999998934E-3</v>
      </c>
      <c r="W28" s="103">
        <f t="shared" si="3"/>
        <v>-5.7142857142855608E-4</v>
      </c>
      <c r="X28" s="103">
        <f t="shared" si="3"/>
        <v>-1.4835164835164782E-2</v>
      </c>
      <c r="Y28" s="103">
        <f t="shared" si="3"/>
        <v>-2.8089887640448952E-3</v>
      </c>
      <c r="Z28" s="103">
        <f t="shared" si="3"/>
        <v>-1.6853932584269704E-2</v>
      </c>
      <c r="AA28" s="103">
        <f t="shared" si="3"/>
        <v>-3.2631578947368456E-2</v>
      </c>
      <c r="AB28" s="103">
        <f t="shared" si="3"/>
        <v>1.2999999999999901E-2</v>
      </c>
      <c r="AC28" s="103">
        <f t="shared" si="3"/>
        <v>4.5454545454546302E-3</v>
      </c>
      <c r="AD28" s="103">
        <f t="shared" si="3"/>
        <v>3.9999999999995595E-4</v>
      </c>
      <c r="AE28" s="103">
        <f t="shared" si="3"/>
        <v>-2.8571428571428914E-3</v>
      </c>
      <c r="AF28" s="103">
        <f t="shared" si="3"/>
        <v>1.5333333333333421E-2</v>
      </c>
      <c r="AG28" s="103">
        <f t="shared" si="3"/>
        <v>-6.4705882352941169E-3</v>
      </c>
      <c r="AH28" s="103">
        <f t="shared" si="3"/>
        <v>-4.7222222222221832E-3</v>
      </c>
      <c r="AI28" s="103">
        <f t="shared" si="3"/>
        <v>-5.1250000000000018E-2</v>
      </c>
      <c r="AJ28" s="103">
        <f t="shared" si="3"/>
        <v>3.5714285714285587E-3</v>
      </c>
      <c r="AK28" s="103">
        <f t="shared" si="3"/>
        <v>2.0399999999999974E-2</v>
      </c>
      <c r="AL28" s="103">
        <f t="shared" si="3"/>
        <v>-6.8000000000000282E-3</v>
      </c>
      <c r="AM28" s="103">
        <f t="shared" si="3"/>
        <v>-8.192771084337358E-3</v>
      </c>
      <c r="AN28" s="103"/>
      <c r="AO28" s="103"/>
      <c r="AP28" s="102" t="s">
        <v>384</v>
      </c>
    </row>
    <row r="29" spans="1:42" ht="15" customHeight="1" x14ac:dyDescent="0.15">
      <c r="A29" s="97" t="s">
        <v>370</v>
      </c>
      <c r="B29" s="100" t="str">
        <f t="shared" ref="B29:AM29" si="4">IF(NOT(ISNUMBER(B27)),"",IF(B27&gt;B26,"Miss",IF(B27&lt;B26,"Beat","In-line")))</f>
        <v>Beat</v>
      </c>
      <c r="C29" s="100" t="str">
        <f t="shared" si="4"/>
        <v>Miss</v>
      </c>
      <c r="D29" s="100" t="str">
        <f t="shared" si="4"/>
        <v>In-line</v>
      </c>
      <c r="E29" s="100" t="str">
        <f t="shared" si="4"/>
        <v>Miss</v>
      </c>
      <c r="F29" s="100" t="str">
        <f t="shared" si="4"/>
        <v>Miss</v>
      </c>
      <c r="G29" s="100" t="str">
        <f t="shared" si="4"/>
        <v>Miss</v>
      </c>
      <c r="H29" s="100" t="str">
        <f t="shared" si="4"/>
        <v>In-line</v>
      </c>
      <c r="I29" s="100" t="str">
        <f t="shared" si="4"/>
        <v>In-line</v>
      </c>
      <c r="J29" s="100" t="str">
        <f t="shared" si="4"/>
        <v>Beat</v>
      </c>
      <c r="K29" s="100" t="str">
        <f t="shared" si="4"/>
        <v>Beat</v>
      </c>
      <c r="L29" s="100" t="str">
        <f t="shared" si="4"/>
        <v>Miss</v>
      </c>
      <c r="M29" s="100" t="str">
        <f t="shared" si="4"/>
        <v>Miss</v>
      </c>
      <c r="N29" s="100" t="str">
        <f t="shared" si="4"/>
        <v>Beat</v>
      </c>
      <c r="O29" s="100" t="str">
        <f t="shared" si="4"/>
        <v>Beat</v>
      </c>
      <c r="P29" s="100" t="str">
        <f t="shared" si="4"/>
        <v>Miss</v>
      </c>
      <c r="Q29" s="100" t="str">
        <f t="shared" si="4"/>
        <v>Miss</v>
      </c>
      <c r="R29" s="100" t="str">
        <f t="shared" si="4"/>
        <v>Beat</v>
      </c>
      <c r="S29" s="100" t="str">
        <f t="shared" si="4"/>
        <v>Miss</v>
      </c>
      <c r="T29" s="100" t="str">
        <f t="shared" si="4"/>
        <v>Miss</v>
      </c>
      <c r="U29" s="100" t="str">
        <f t="shared" si="4"/>
        <v>Miss</v>
      </c>
      <c r="V29" s="100" t="str">
        <f t="shared" si="4"/>
        <v>Miss</v>
      </c>
      <c r="W29" s="100" t="str">
        <f t="shared" si="4"/>
        <v>Beat</v>
      </c>
      <c r="X29" s="100" t="str">
        <f t="shared" si="4"/>
        <v>Beat</v>
      </c>
      <c r="Y29" s="100" t="str">
        <f t="shared" si="4"/>
        <v>Beat</v>
      </c>
      <c r="Z29" s="100" t="str">
        <f t="shared" si="4"/>
        <v>Beat</v>
      </c>
      <c r="AA29" s="100" t="str">
        <f t="shared" si="4"/>
        <v>Beat</v>
      </c>
      <c r="AB29" s="100" t="str">
        <f t="shared" si="4"/>
        <v>Miss</v>
      </c>
      <c r="AC29" s="100" t="str">
        <f t="shared" si="4"/>
        <v>Miss</v>
      </c>
      <c r="AD29" s="100" t="str">
        <f t="shared" si="4"/>
        <v>Miss</v>
      </c>
      <c r="AE29" s="100" t="str">
        <f t="shared" si="4"/>
        <v>Beat</v>
      </c>
      <c r="AF29" s="100" t="str">
        <f t="shared" si="4"/>
        <v>Miss</v>
      </c>
      <c r="AG29" s="100" t="str">
        <f t="shared" si="4"/>
        <v>Beat</v>
      </c>
      <c r="AH29" s="100" t="str">
        <f t="shared" si="4"/>
        <v>Beat</v>
      </c>
      <c r="AI29" s="100" t="str">
        <f t="shared" si="4"/>
        <v>Beat</v>
      </c>
      <c r="AJ29" s="100" t="str">
        <f t="shared" si="4"/>
        <v>Miss</v>
      </c>
      <c r="AK29" s="100" t="str">
        <f t="shared" si="4"/>
        <v>Miss</v>
      </c>
      <c r="AL29" s="100" t="str">
        <f t="shared" si="4"/>
        <v>Beat</v>
      </c>
      <c r="AM29" s="100" t="str">
        <f t="shared" si="4"/>
        <v>Beat</v>
      </c>
      <c r="AN29" s="100"/>
      <c r="AO29" s="100"/>
      <c r="AP29" s="102" t="s">
        <v>385</v>
      </c>
    </row>
    <row r="30" spans="1:42" ht="15" customHeight="1" x14ac:dyDescent="0.15">
      <c r="A30" s="97" t="s">
        <v>386</v>
      </c>
      <c r="B30" s="101">
        <f>IF(Raw_Data!B214="","",Raw_Data!B214)</f>
        <v>603</v>
      </c>
      <c r="C30" s="101">
        <f>IF(Raw_Data!C214="","",Raw_Data!C214)</f>
        <v>605</v>
      </c>
      <c r="D30" s="101">
        <f>IF(Raw_Data!D214="","",Raw_Data!D214)</f>
        <v>672</v>
      </c>
      <c r="E30" s="101">
        <f>IF(Raw_Data!E214="","",Raw_Data!E214)</f>
        <v>722</v>
      </c>
      <c r="F30" s="101">
        <f>IF(Raw_Data!F214="","",Raw_Data!F214)</f>
        <v>770</v>
      </c>
      <c r="G30" s="101">
        <f>IF(Raw_Data!G214="","",Raw_Data!G214)</f>
        <v>810</v>
      </c>
      <c r="H30" s="101">
        <f>IF(Raw_Data!H214="","",Raw_Data!H214)</f>
        <v>870</v>
      </c>
      <c r="I30" s="101">
        <f>IF(Raw_Data!I214="","",Raw_Data!I214)</f>
        <v>915</v>
      </c>
      <c r="J30" s="101">
        <f>IF(Raw_Data!J214="","",Raw_Data!J214)</f>
        <v>930</v>
      </c>
      <c r="K30" s="101">
        <f>IF(Raw_Data!K214="","",Raw_Data!K214)</f>
        <v>985</v>
      </c>
      <c r="L30" s="101">
        <f>IF(Raw_Data!L214="","",Raw_Data!L214)</f>
        <v>980</v>
      </c>
      <c r="M30" s="101">
        <f>IF(Raw_Data!M214="","",Raw_Data!M214)</f>
        <v>1020</v>
      </c>
      <c r="N30" s="101">
        <f>IF(Raw_Data!N214="","",Raw_Data!N214)</f>
        <v>1050</v>
      </c>
      <c r="O30" s="101">
        <f>IF(Raw_Data!O214="","",Raw_Data!O214)</f>
        <v>1520</v>
      </c>
      <c r="P30" s="101">
        <f>IF(Raw_Data!P214="","",Raw_Data!P214)</f>
        <v>1540</v>
      </c>
      <c r="Q30" s="101">
        <f>IF(Raw_Data!Q214="","",Raw_Data!Q214)</f>
        <v>1640</v>
      </c>
      <c r="R30" s="101">
        <f>IF(Raw_Data!R214="","",Raw_Data!R214)</f>
        <v>1670</v>
      </c>
      <c r="S30" s="101">
        <f>IF(Raw_Data!S214="","",Raw_Data!S214)</f>
        <v>1760</v>
      </c>
      <c r="T30" s="101">
        <f>IF(Raw_Data!T214="","",Raw_Data!T214)</f>
        <v>1960</v>
      </c>
      <c r="U30" s="101">
        <f>IF(Raw_Data!U214="","",Raw_Data!U214)</f>
        <v>2020</v>
      </c>
      <c r="V30" s="101">
        <f>IF(Raw_Data!V214="","",Raw_Data!V214)</f>
        <v>3550</v>
      </c>
      <c r="W30" s="101">
        <f>IF(Raw_Data!W214="","",Raw_Data!W214)</f>
        <v>2460</v>
      </c>
      <c r="X30" s="101">
        <f>IF(Raw_Data!X214="","",Raw_Data!X214)</f>
        <v>2590</v>
      </c>
      <c r="Y30" s="101">
        <f>IF(Raw_Data!Y214="","",Raw_Data!Y214)</f>
        <v>2560</v>
      </c>
      <c r="Z30" s="101">
        <f>IF(Raw_Data!Z214="","",Raw_Data!Z214)</f>
        <v>2530</v>
      </c>
      <c r="AA30" s="101">
        <f>IF(Raw_Data!AA214="","",Raw_Data!AA214)</f>
        <v>2710</v>
      </c>
      <c r="AB30" s="101">
        <f>IF(Raw_Data!AB214="","",Raw_Data!AB214)</f>
        <v>2950</v>
      </c>
      <c r="AC30" s="101">
        <f>IF(Raw_Data!AC214="","",Raw_Data!AC214)</f>
        <v>3170</v>
      </c>
      <c r="AD30" s="101">
        <f>IF(Raw_Data!AD214="","",Raw_Data!AD214)</f>
        <v>3500</v>
      </c>
      <c r="AE30" s="101">
        <f>IF(Raw_Data!AE214="","",Raw_Data!AE214)</f>
        <v>4000</v>
      </c>
      <c r="AF30" s="101">
        <f>IF(Raw_Data!AF214="","",Raw_Data!AF214)</f>
        <v>4300</v>
      </c>
      <c r="AG30" s="101">
        <f>IF(Raw_Data!AG214="","",Raw_Data!AG214)</f>
        <v>4800</v>
      </c>
      <c r="AH30" s="101">
        <f>IF(Raw_Data!AH214="","",Raw_Data!AH214)</f>
        <v>5200</v>
      </c>
      <c r="AI30" s="101">
        <f>IF(Raw_Data!AI214="","",Raw_Data!AI214)</f>
        <v>5700</v>
      </c>
      <c r="AJ30" s="101">
        <f>IF(Raw_Data!AJ214="","",Raw_Data!AJ214)</f>
        <v>5900</v>
      </c>
      <c r="AK30" s="101">
        <f>IF(Raw_Data!AK214="","",Raw_Data!AK214)</f>
        <v>6700</v>
      </c>
      <c r="AL30" s="101">
        <f>IF(Raw_Data!AL214="","",Raw_Data!AL214)</f>
        <v>7700</v>
      </c>
      <c r="AM30" s="101">
        <f>IF(Raw_Data!AM214="","",Raw_Data!AM214)</f>
        <v>8500</v>
      </c>
      <c r="AN30" s="101">
        <f>IF(Raw_Data!AN214="","",Raw_Data!AN214)</f>
        <v>9200</v>
      </c>
      <c r="AO30" s="101"/>
      <c r="AP30" s="102" t="s">
        <v>387</v>
      </c>
    </row>
    <row r="31" spans="1:42" ht="15" customHeight="1" x14ac:dyDescent="0.15">
      <c r="A31" s="97" t="s">
        <v>366</v>
      </c>
      <c r="B31" s="101">
        <f>IF(Raw_Data!B215="","",Raw_Data!B215)</f>
        <v>596</v>
      </c>
      <c r="C31" s="101">
        <f>IF(Raw_Data!C215="","",Raw_Data!C215)</f>
        <v>614</v>
      </c>
      <c r="D31" s="101">
        <f>IF(Raw_Data!D215="","",Raw_Data!D215)</f>
        <v>674</v>
      </c>
      <c r="E31" s="101">
        <f>IF(Raw_Data!E215="","",Raw_Data!E215)</f>
        <v>728</v>
      </c>
      <c r="F31" s="101">
        <f>IF(Raw_Data!F215="","",Raw_Data!F215)</f>
        <v>773</v>
      </c>
      <c r="G31" s="101">
        <f>IF(Raw_Data!G215="","",Raw_Data!G215)</f>
        <v>818</v>
      </c>
      <c r="H31" s="101">
        <f>IF(Raw_Data!H215="","",Raw_Data!H215)</f>
        <v>863</v>
      </c>
      <c r="I31" s="101">
        <f>IF(Raw_Data!I215="","",Raw_Data!I215)</f>
        <v>913</v>
      </c>
      <c r="J31" s="101">
        <f>IF(Raw_Data!J215="","",Raw_Data!J215)</f>
        <v>938</v>
      </c>
      <c r="K31" s="101">
        <f>IF(Raw_Data!K215="","",Raw_Data!K215)</f>
        <v>970</v>
      </c>
      <c r="L31" s="101">
        <f>IF(Raw_Data!L215="","",Raw_Data!L215)</f>
        <v>989</v>
      </c>
      <c r="M31" s="101">
        <f>IF(Raw_Data!M215="","",Raw_Data!M215)</f>
        <v>1025</v>
      </c>
      <c r="N31" s="101">
        <f>IF(Raw_Data!N215="","",Raw_Data!N215)</f>
        <v>1028</v>
      </c>
      <c r="O31" s="101">
        <f>IF(Raw_Data!O215="","",Raw_Data!O215)</f>
        <v>1624</v>
      </c>
      <c r="P31" s="101">
        <f>IF(Raw_Data!P215="","",Raw_Data!P215)</f>
        <v>1562</v>
      </c>
      <c r="Q31" s="101">
        <f>IF(Raw_Data!Q215="","",Raw_Data!Q215)</f>
        <v>1649</v>
      </c>
      <c r="R31" s="101">
        <f>IF(Raw_Data!R215="","",Raw_Data!R215)</f>
        <v>1673</v>
      </c>
      <c r="S31" s="101">
        <f>IF(Raw_Data!S215="","",Raw_Data!S215)</f>
        <v>1771</v>
      </c>
      <c r="T31" s="101">
        <f>IF(Raw_Data!T215="","",Raw_Data!T215)</f>
        <v>1960</v>
      </c>
      <c r="U31" s="101">
        <f>IF(Raw_Data!U215="","",Raw_Data!U215)</f>
        <v>2029</v>
      </c>
      <c r="V31" s="101">
        <f>IF(Raw_Data!V215="","",Raw_Data!V215)</f>
        <v>3563</v>
      </c>
      <c r="W31" s="101">
        <f>IF(Raw_Data!W215="","",Raw_Data!W215)</f>
        <v>2416</v>
      </c>
      <c r="X31" s="101">
        <f>IF(Raw_Data!X215="","",Raw_Data!X215)</f>
        <v>2576</v>
      </c>
      <c r="Y31" s="101">
        <f>IF(Raw_Data!Y215="","",Raw_Data!Y215)</f>
        <v>2577</v>
      </c>
      <c r="Z31" s="101">
        <f>IF(Raw_Data!Z215="","",Raw_Data!Z215)</f>
        <v>2508</v>
      </c>
      <c r="AA31" s="101">
        <f>IF(Raw_Data!AA215="","",Raw_Data!AA215)</f>
        <v>2662</v>
      </c>
      <c r="AB31" s="101">
        <f>IF(Raw_Data!AB215="","",Raw_Data!AB215)</f>
        <v>2983</v>
      </c>
      <c r="AC31" s="101">
        <f>IF(Raw_Data!AC215="","",Raw_Data!AC215)</f>
        <v>3177</v>
      </c>
      <c r="AD31" s="101">
        <f>IF(Raw_Data!AD215="","",Raw_Data!AD215)</f>
        <v>3497</v>
      </c>
      <c r="AE31" s="101">
        <f>IF(Raw_Data!AE215="","",Raw_Data!AE215)</f>
        <v>3932</v>
      </c>
      <c r="AF31" s="101">
        <f>IF(Raw_Data!AF215="","",Raw_Data!AF215)</f>
        <v>4287</v>
      </c>
      <c r="AG31" s="101">
        <f>IF(Raw_Data!AG215="","",Raw_Data!AG215)</f>
        <v>4689</v>
      </c>
      <c r="AH31" s="101">
        <f>IF(Raw_Data!AH215="","",Raw_Data!AH215)</f>
        <v>5030</v>
      </c>
      <c r="AI31" s="101">
        <f>IF(Raw_Data!AI215="","",Raw_Data!AI215)</f>
        <v>5413</v>
      </c>
      <c r="AJ31" s="101">
        <f>IF(Raw_Data!AJ215="","",Raw_Data!AJ215)</f>
        <v>5839</v>
      </c>
      <c r="AK31" s="101">
        <f>IF(Raw_Data!AK215="","",Raw_Data!AK215)</f>
        <v>6794</v>
      </c>
      <c r="AL31" s="101">
        <f>IF(Raw_Data!AL215="","",Raw_Data!AL215)</f>
        <v>7621</v>
      </c>
      <c r="AM31" s="101">
        <f>IF(Raw_Data!AM215="","",Raw_Data!AM215)</f>
        <v>8408</v>
      </c>
      <c r="AN31" s="101"/>
      <c r="AO31" s="101"/>
      <c r="AP31" s="102" t="s">
        <v>367</v>
      </c>
    </row>
    <row r="32" spans="1:42" ht="15" customHeight="1" x14ac:dyDescent="0.15">
      <c r="A32" s="97" t="s">
        <v>383</v>
      </c>
      <c r="B32" s="103">
        <f>IF(NOT(ISNUMBER(B31)),"n.a.",B31/IF(Raw_Data!B202="",B30,Raw_Data!B202)-1)</f>
        <v>-1.1608623548922004E-2</v>
      </c>
      <c r="C32" s="103">
        <f>IF(NOT(ISNUMBER(C31)),"n.a.",C31/IF(Raw_Data!C202="",C30,Raw_Data!C202)-1)</f>
        <v>1.4876033057851235E-2</v>
      </c>
      <c r="D32" s="103">
        <f>IF(NOT(ISNUMBER(D31)),"n.a.",D31/IF(Raw_Data!D202="",D30,Raw_Data!D202)-1)</f>
        <v>2.9761904761904656E-3</v>
      </c>
      <c r="E32" s="103">
        <f>IF(NOT(ISNUMBER(E31)),"n.a.",E31/IF(Raw_Data!E202="",E30,Raw_Data!E202)-1)</f>
        <v>8.310249307479145E-3</v>
      </c>
      <c r="F32" s="103">
        <f>IF(NOT(ISNUMBER(F31)),"n.a.",F31/IF(Raw_Data!F202="",F30,Raw_Data!F202)-1)</f>
        <v>3.8961038961038419E-3</v>
      </c>
      <c r="G32" s="103">
        <f>IF(NOT(ISNUMBER(G31)),"n.a.",G31/IF(Raw_Data!G202="",G30,Raw_Data!G202)-1)</f>
        <v>9.8765432098766315E-3</v>
      </c>
      <c r="H32" s="103">
        <f>IF(NOT(ISNUMBER(H31)),"n.a.",H31/IF(Raw_Data!H202="",H30,Raw_Data!H202)-1)</f>
        <v>-8.0459770114942319E-3</v>
      </c>
      <c r="I32" s="103">
        <f>IF(NOT(ISNUMBER(I31)),"n.a.",I31/IF(Raw_Data!I202="",I30,Raw_Data!I202)-1)</f>
        <v>-2.1857923497268228E-3</v>
      </c>
      <c r="J32" s="103">
        <f>IF(NOT(ISNUMBER(J31)),"n.a.",J31/IF(Raw_Data!J202="",J30,Raw_Data!J202)-1)</f>
        <v>8.6021505376343566E-3</v>
      </c>
      <c r="K32" s="103">
        <f>IF(NOT(ISNUMBER(K31)),"n.a.",K31/IF(Raw_Data!K202="",K30,Raw_Data!K202)-1)</f>
        <v>-1.5228426395939132E-2</v>
      </c>
      <c r="L32" s="103">
        <f>IF(NOT(ISNUMBER(L31)),"n.a.",L31/IF(Raw_Data!L202="",L30,Raw_Data!L202)-1)</f>
        <v>9.1836734693877542E-3</v>
      </c>
      <c r="M32" s="103">
        <f>IF(NOT(ISNUMBER(M31)),"n.a.",M31/IF(Raw_Data!M202="",M30,Raw_Data!M202)-1)</f>
        <v>4.9019607843137081E-3</v>
      </c>
      <c r="N32" s="103">
        <f>IF(NOT(ISNUMBER(N31)),"n.a.",N31/IF(Raw_Data!N202="",N30,Raw_Data!N202)-1)</f>
        <v>-2.0952380952380945E-2</v>
      </c>
      <c r="O32" s="103">
        <f>IF(NOT(ISNUMBER(O31)),"n.a.",O31/IF(Raw_Data!O202="",O30,Raw_Data!O202)-1)</f>
        <v>6.8421052631578938E-2</v>
      </c>
      <c r="P32" s="103">
        <f>IF(NOT(ISNUMBER(P31)),"n.a.",P31/IF(Raw_Data!P202="",P30,Raw_Data!P202)-1)</f>
        <v>1.4285714285714235E-2</v>
      </c>
      <c r="Q32" s="103">
        <f>IF(NOT(ISNUMBER(Q31)),"n.a.",Q31/IF(Raw_Data!Q202="",Q30,Raw_Data!Q202)-1)</f>
        <v>5.4878048780486743E-3</v>
      </c>
      <c r="R32" s="103">
        <f>IF(NOT(ISNUMBER(R31)),"n.a.",R31/IF(Raw_Data!R202="",R30,Raw_Data!R202)-1)</f>
        <v>1.796407185628679E-3</v>
      </c>
      <c r="S32" s="103">
        <f>IF(NOT(ISNUMBER(S31)),"n.a.",S31/IF(Raw_Data!S202="",S30,Raw_Data!S202)-1)</f>
        <v>6.2500000000000888E-3</v>
      </c>
      <c r="T32" s="103">
        <f>IF(NOT(ISNUMBER(T31)),"n.a.",T31/IF(Raw_Data!T202="",T30,Raw_Data!T202)-1)</f>
        <v>0</v>
      </c>
      <c r="U32" s="103">
        <f>IF(NOT(ISNUMBER(U31)),"n.a.",U31/IF(Raw_Data!U202="",U30,Raw_Data!U202)-1)</f>
        <v>4.4554455445544594E-3</v>
      </c>
      <c r="V32" s="103">
        <f>IF(NOT(ISNUMBER(V31)),"n.a.",V31/IF(Raw_Data!V202="",V30,Raw_Data!V202)-1)</f>
        <v>3.6619718309858218E-3</v>
      </c>
      <c r="W32" s="103">
        <f>IF(NOT(ISNUMBER(W31)),"n.a.",W31/IF(Raw_Data!W202="",W30,Raw_Data!W202)-1)</f>
        <v>-1.6528925619834212E-3</v>
      </c>
      <c r="X32" s="103">
        <f>IF(NOT(ISNUMBER(X31)),"n.a.",X31/IF(Raw_Data!X202="",X30,Raw_Data!X202)-1)</f>
        <v>-5.4054054054053502E-3</v>
      </c>
      <c r="Y32" s="103">
        <f>IF(NOT(ISNUMBER(Y31)),"n.a.",Y31/IF(Raw_Data!Y202="",Y30,Raw_Data!Y202)-1)</f>
        <v>6.6406249999999556E-3</v>
      </c>
      <c r="Z32" s="103">
        <f>IF(NOT(ISNUMBER(Z31)),"n.a.",Z31/IF(Raw_Data!Z202="",Z30,Raw_Data!Z202)-1)</f>
        <v>-8.6956521739129933E-3</v>
      </c>
      <c r="AA32" s="103">
        <f>IF(NOT(ISNUMBER(AA31)),"n.a.",AA31/IF(Raw_Data!AA202="",AA30,Raw_Data!AA202)-1)</f>
        <v>-1.77121771217712E-2</v>
      </c>
      <c r="AB32" s="103">
        <f>IF(NOT(ISNUMBER(AB31)),"n.a.",AB31/IF(Raw_Data!AB202="",AB30,Raw_Data!AB202)-1)</f>
        <v>1.1186440677966036E-2</v>
      </c>
      <c r="AC32" s="103">
        <f>IF(NOT(ISNUMBER(AC31)),"n.a.",AC31/IF(Raw_Data!AC202="",AC30,Raw_Data!AC202)-1)</f>
        <v>2.2082018927445102E-3</v>
      </c>
      <c r="AD32" s="103">
        <f>IF(NOT(ISNUMBER(AD31)),"n.a.",AD31/IF(Raw_Data!AD202="",AD30,Raw_Data!AD202)-1)</f>
        <v>-8.5714285714288962E-4</v>
      </c>
      <c r="AE32" s="103">
        <f>IF(NOT(ISNUMBER(AE31)),"n.a.",AE31/IF(Raw_Data!AE202="",AE30,Raw_Data!AE202)-1)</f>
        <v>-1.7000000000000015E-2</v>
      </c>
      <c r="AF32" s="103">
        <f>IF(NOT(ISNUMBER(AF31)),"n.a.",AF31/IF(Raw_Data!AF202="",AF30,Raw_Data!AF202)-1)</f>
        <v>-3.0232558139534627E-3</v>
      </c>
      <c r="AG32" s="103">
        <f>IF(NOT(ISNUMBER(AG31)),"n.a.",AG31/IF(Raw_Data!AG202="",AG30,Raw_Data!AG202)-1)</f>
        <v>-2.3124999999999951E-2</v>
      </c>
      <c r="AH32" s="103">
        <f>IF(NOT(ISNUMBER(AH31)),"n.a.",AH31/IF(Raw_Data!AH202="",AH30,Raw_Data!AH202)-1)</f>
        <v>-3.2692307692307687E-2</v>
      </c>
      <c r="AI32" s="103">
        <f>IF(NOT(ISNUMBER(AI31)),"n.a.",AI31/IF(Raw_Data!AI202="",AI30,Raw_Data!AI202)-1)</f>
        <v>-5.0350877192982479E-2</v>
      </c>
      <c r="AJ32" s="103">
        <f>IF(NOT(ISNUMBER(AJ31)),"n.a.",AJ31/IF(Raw_Data!AJ202="",AJ30,Raw_Data!AJ202)-1)</f>
        <v>-1.0338983050847461E-2</v>
      </c>
      <c r="AK32" s="103">
        <f>IF(NOT(ISNUMBER(AK31)),"n.a.",AK31/IF(Raw_Data!AK202="",AK30,Raw_Data!AK202)-1)</f>
        <v>1.4029850746268613E-2</v>
      </c>
      <c r="AL32" s="103">
        <f>IF(NOT(ISNUMBER(AL31)),"n.a.",AL31/IF(Raw_Data!AL202="",AL30,Raw_Data!AL202)-1)</f>
        <v>-1.0259740259740302E-2</v>
      </c>
      <c r="AM32" s="103">
        <f>IF(NOT(ISNUMBER(AM31)),"n.a.",AM31/IF(Raw_Data!AM202="",AM30,Raw_Data!AM202)-1)</f>
        <v>-1.0823529411764676E-2</v>
      </c>
      <c r="AN32" s="103"/>
      <c r="AO32" s="103"/>
      <c r="AP32" s="102" t="s">
        <v>369</v>
      </c>
    </row>
    <row r="33" spans="1:42" ht="15" customHeight="1" x14ac:dyDescent="0.15">
      <c r="A33" s="97" t="s">
        <v>370</v>
      </c>
      <c r="B33" s="100" t="str">
        <f>IF(NOT(ISNUMBER(B31)),"",IF(B31&gt;IF(Raw_Data!B202="",B30,Raw_Data!B202),"Miss",IF(B31&lt;IF(Raw_Data!B202="",B30,Raw_Data!B202),"Beat","In-line")))</f>
        <v>Beat</v>
      </c>
      <c r="C33" s="100" t="str">
        <f>IF(NOT(ISNUMBER(C31)),"",IF(C31&gt;IF(Raw_Data!C202="",C30,Raw_Data!C202),"Miss",IF(C31&lt;IF(Raw_Data!C202="",C30,Raw_Data!C202),"Beat","In-line")))</f>
        <v>Miss</v>
      </c>
      <c r="D33" s="100" t="str">
        <f>IF(NOT(ISNUMBER(D31)),"",IF(D31&gt;IF(Raw_Data!D202="",D30,Raw_Data!D202),"Miss",IF(D31&lt;IF(Raw_Data!D202="",D30,Raw_Data!D202),"Beat","In-line")))</f>
        <v>Miss</v>
      </c>
      <c r="E33" s="100" t="str">
        <f>IF(NOT(ISNUMBER(E31)),"",IF(E31&gt;IF(Raw_Data!E202="",E30,Raw_Data!E202),"Miss",IF(E31&lt;IF(Raw_Data!E202="",E30,Raw_Data!E202),"Beat","In-line")))</f>
        <v>Miss</v>
      </c>
      <c r="F33" s="100" t="str">
        <f>IF(NOT(ISNUMBER(F31)),"",IF(F31&gt;IF(Raw_Data!F202="",F30,Raw_Data!F202),"Miss",IF(F31&lt;IF(Raw_Data!F202="",F30,Raw_Data!F202),"Beat","In-line")))</f>
        <v>Miss</v>
      </c>
      <c r="G33" s="100" t="str">
        <f>IF(NOT(ISNUMBER(G31)),"",IF(G31&gt;IF(Raw_Data!G202="",G30,Raw_Data!G202),"Miss",IF(G31&lt;IF(Raw_Data!G202="",G30,Raw_Data!G202),"Beat","In-line")))</f>
        <v>Miss</v>
      </c>
      <c r="H33" s="100" t="str">
        <f>IF(NOT(ISNUMBER(H31)),"",IF(H31&gt;IF(Raw_Data!H202="",H30,Raw_Data!H202),"Miss",IF(H31&lt;IF(Raw_Data!H202="",H30,Raw_Data!H202),"Beat","In-line")))</f>
        <v>Beat</v>
      </c>
      <c r="I33" s="100" t="str">
        <f>IF(NOT(ISNUMBER(I31)),"",IF(I31&gt;IF(Raw_Data!I202="",I30,Raw_Data!I202),"Miss",IF(I31&lt;IF(Raw_Data!I202="",I30,Raw_Data!I202),"Beat","In-line")))</f>
        <v>Beat</v>
      </c>
      <c r="J33" s="100" t="str">
        <f>IF(NOT(ISNUMBER(J31)),"",IF(J31&gt;IF(Raw_Data!J202="",J30,Raw_Data!J202),"Miss",IF(J31&lt;IF(Raw_Data!J202="",J30,Raw_Data!J202),"Beat","In-line")))</f>
        <v>Miss</v>
      </c>
      <c r="K33" s="100" t="str">
        <f>IF(NOT(ISNUMBER(K31)),"",IF(K31&gt;IF(Raw_Data!K202="",K30,Raw_Data!K202),"Miss",IF(K31&lt;IF(Raw_Data!K202="",K30,Raw_Data!K202),"Beat","In-line")))</f>
        <v>Beat</v>
      </c>
      <c r="L33" s="100" t="str">
        <f>IF(NOT(ISNUMBER(L31)),"",IF(L31&gt;IF(Raw_Data!L202="",L30,Raw_Data!L202),"Miss",IF(L31&lt;IF(Raw_Data!L202="",L30,Raw_Data!L202),"Beat","In-line")))</f>
        <v>Miss</v>
      </c>
      <c r="M33" s="100" t="str">
        <f>IF(NOT(ISNUMBER(M31)),"",IF(M31&gt;IF(Raw_Data!M202="",M30,Raw_Data!M202),"Miss",IF(M31&lt;IF(Raw_Data!M202="",M30,Raw_Data!M202),"Beat","In-line")))</f>
        <v>Miss</v>
      </c>
      <c r="N33" s="100" t="str">
        <f>IF(NOT(ISNUMBER(N31)),"",IF(N31&gt;IF(Raw_Data!N202="",N30,Raw_Data!N202),"Miss",IF(N31&lt;IF(Raw_Data!N202="",N30,Raw_Data!N202),"Beat","In-line")))</f>
        <v>Beat</v>
      </c>
      <c r="O33" s="100" t="str">
        <f>IF(NOT(ISNUMBER(O31)),"",IF(O31&gt;IF(Raw_Data!O202="",O30,Raw_Data!O202),"Miss",IF(O31&lt;IF(Raw_Data!O202="",O30,Raw_Data!O202),"Beat","In-line")))</f>
        <v>Miss</v>
      </c>
      <c r="P33" s="100" t="str">
        <f>IF(NOT(ISNUMBER(P31)),"",IF(P31&gt;IF(Raw_Data!P202="",P30,Raw_Data!P202),"Miss",IF(P31&lt;IF(Raw_Data!P202="",P30,Raw_Data!P202),"Beat","In-line")))</f>
        <v>Miss</v>
      </c>
      <c r="Q33" s="100" t="str">
        <f>IF(NOT(ISNUMBER(Q31)),"",IF(Q31&gt;IF(Raw_Data!Q202="",Q30,Raw_Data!Q202),"Miss",IF(Q31&lt;IF(Raw_Data!Q202="",Q30,Raw_Data!Q202),"Beat","In-line")))</f>
        <v>Miss</v>
      </c>
      <c r="R33" s="100" t="str">
        <f>IF(NOT(ISNUMBER(R31)),"",IF(R31&gt;IF(Raw_Data!R202="",R30,Raw_Data!R202),"Miss",IF(R31&lt;IF(Raw_Data!R202="",R30,Raw_Data!R202),"Beat","In-line")))</f>
        <v>Miss</v>
      </c>
      <c r="S33" s="100" t="str">
        <f>IF(NOT(ISNUMBER(S31)),"",IF(S31&gt;IF(Raw_Data!S202="",S30,Raw_Data!S202),"Miss",IF(S31&lt;IF(Raw_Data!S202="",S30,Raw_Data!S202),"Beat","In-line")))</f>
        <v>Miss</v>
      </c>
      <c r="T33" s="100" t="str">
        <f>IF(NOT(ISNUMBER(T31)),"",IF(T31&gt;IF(Raw_Data!T202="",T30,Raw_Data!T202),"Miss",IF(T31&lt;IF(Raw_Data!T202="",T30,Raw_Data!T202),"Beat","In-line")))</f>
        <v>In-line</v>
      </c>
      <c r="U33" s="100" t="str">
        <f>IF(NOT(ISNUMBER(U31)),"",IF(U31&gt;IF(Raw_Data!U202="",U30,Raw_Data!U202),"Miss",IF(U31&lt;IF(Raw_Data!U202="",U30,Raw_Data!U202),"Beat","In-line")))</f>
        <v>Miss</v>
      </c>
      <c r="V33" s="100" t="str">
        <f>IF(NOT(ISNUMBER(V31)),"",IF(V31&gt;IF(Raw_Data!V202="",V30,Raw_Data!V202),"Miss",IF(V31&lt;IF(Raw_Data!V202="",V30,Raw_Data!V202),"Beat","In-line")))</f>
        <v>Miss</v>
      </c>
      <c r="W33" s="100" t="str">
        <f>IF(NOT(ISNUMBER(W31)),"",IF(W31&gt;IF(Raw_Data!W202="",W30,Raw_Data!W202),"Miss",IF(W31&lt;IF(Raw_Data!W202="",W30,Raw_Data!W202),"Beat","In-line")))</f>
        <v>Beat</v>
      </c>
      <c r="X33" s="100" t="str">
        <f>IF(NOT(ISNUMBER(X31)),"",IF(X31&gt;IF(Raw_Data!X202="",X30,Raw_Data!X202),"Miss",IF(X31&lt;IF(Raw_Data!X202="",X30,Raw_Data!X202),"Beat","In-line")))</f>
        <v>Beat</v>
      </c>
      <c r="Y33" s="100" t="str">
        <f>IF(NOT(ISNUMBER(Y31)),"",IF(Y31&gt;IF(Raw_Data!Y202="",Y30,Raw_Data!Y202),"Miss",IF(Y31&lt;IF(Raw_Data!Y202="",Y30,Raw_Data!Y202),"Beat","In-line")))</f>
        <v>Miss</v>
      </c>
      <c r="Z33" s="100" t="str">
        <f>IF(NOT(ISNUMBER(Z31)),"",IF(Z31&gt;IF(Raw_Data!Z202="",Z30,Raw_Data!Z202),"Miss",IF(Z31&lt;IF(Raw_Data!Z202="",Z30,Raw_Data!Z202),"Beat","In-line")))</f>
        <v>Beat</v>
      </c>
      <c r="AA33" s="100" t="str">
        <f>IF(NOT(ISNUMBER(AA31)),"",IF(AA31&gt;IF(Raw_Data!AA202="",AA30,Raw_Data!AA202),"Miss",IF(AA31&lt;IF(Raw_Data!AA202="",AA30,Raw_Data!AA202),"Beat","In-line")))</f>
        <v>Beat</v>
      </c>
      <c r="AB33" s="100" t="str">
        <f>IF(NOT(ISNUMBER(AB31)),"",IF(AB31&gt;IF(Raw_Data!AB202="",AB30,Raw_Data!AB202),"Miss",IF(AB31&lt;IF(Raw_Data!AB202="",AB30,Raw_Data!AB202),"Beat","In-line")))</f>
        <v>Miss</v>
      </c>
      <c r="AC33" s="100" t="str">
        <f>IF(NOT(ISNUMBER(AC31)),"",IF(AC31&gt;IF(Raw_Data!AC202="",AC30,Raw_Data!AC202),"Miss",IF(AC31&lt;IF(Raw_Data!AC202="",AC30,Raw_Data!AC202),"Beat","In-line")))</f>
        <v>Miss</v>
      </c>
      <c r="AD33" s="100" t="str">
        <f>IF(NOT(ISNUMBER(AD31)),"",IF(AD31&gt;IF(Raw_Data!AD202="",AD30,Raw_Data!AD202),"Miss",IF(AD31&lt;IF(Raw_Data!AD202="",AD30,Raw_Data!AD202),"Beat","In-line")))</f>
        <v>Beat</v>
      </c>
      <c r="AE33" s="100" t="str">
        <f>IF(NOT(ISNUMBER(AE31)),"",IF(AE31&gt;IF(Raw_Data!AE202="",AE30,Raw_Data!AE202),"Miss",IF(AE31&lt;IF(Raw_Data!AE202="",AE30,Raw_Data!AE202),"Beat","In-line")))</f>
        <v>Beat</v>
      </c>
      <c r="AF33" s="100" t="str">
        <f>IF(NOT(ISNUMBER(AF31)),"",IF(AF31&gt;IF(Raw_Data!AF202="",AF30,Raw_Data!AF202),"Miss",IF(AF31&lt;IF(Raw_Data!AF202="",AF30,Raw_Data!AF202),"Beat","In-line")))</f>
        <v>Beat</v>
      </c>
      <c r="AG33" s="100" t="str">
        <f>IF(NOT(ISNUMBER(AG31)),"",IF(AG31&gt;IF(Raw_Data!AG202="",AG30,Raw_Data!AG202),"Miss",IF(AG31&lt;IF(Raw_Data!AG202="",AG30,Raw_Data!AG202),"Beat","In-line")))</f>
        <v>Beat</v>
      </c>
      <c r="AH33" s="100" t="str">
        <f>IF(NOT(ISNUMBER(AH31)),"",IF(AH31&gt;IF(Raw_Data!AH202="",AH30,Raw_Data!AH202),"Miss",IF(AH31&lt;IF(Raw_Data!AH202="",AH30,Raw_Data!AH202),"Beat","In-line")))</f>
        <v>Beat</v>
      </c>
      <c r="AI33" s="100" t="str">
        <f>IF(NOT(ISNUMBER(AI31)),"",IF(AI31&gt;IF(Raw_Data!AI202="",AI30,Raw_Data!AI202),"Miss",IF(AI31&lt;IF(Raw_Data!AI202="",AI30,Raw_Data!AI202),"Beat","In-line")))</f>
        <v>Beat</v>
      </c>
      <c r="AJ33" s="100" t="str">
        <f>IF(NOT(ISNUMBER(AJ31)),"",IF(AJ31&gt;IF(Raw_Data!AJ202="",AJ30,Raw_Data!AJ202),"Miss",IF(AJ31&lt;IF(Raw_Data!AJ202="",AJ30,Raw_Data!AJ202),"Beat","In-line")))</f>
        <v>Beat</v>
      </c>
      <c r="AK33" s="100" t="str">
        <f>IF(NOT(ISNUMBER(AK31)),"",IF(AK31&gt;IF(Raw_Data!AK202="",AK30,Raw_Data!AK202),"Miss",IF(AK31&lt;IF(Raw_Data!AK202="",AK30,Raw_Data!AK202),"Beat","In-line")))</f>
        <v>Miss</v>
      </c>
      <c r="AL33" s="100" t="str">
        <f>IF(NOT(ISNUMBER(AL31)),"",IF(AL31&gt;IF(Raw_Data!AL202="",AL30,Raw_Data!AL202),"Miss",IF(AL31&lt;IF(Raw_Data!AL202="",AL30,Raw_Data!AL202),"Beat","In-line")))</f>
        <v>Beat</v>
      </c>
      <c r="AM33" s="100" t="str">
        <f>IF(NOT(ISNUMBER(AM31)),"",IF(AM31&gt;IF(Raw_Data!AM202="",AM30,Raw_Data!AM202),"Miss",IF(AM31&lt;IF(Raw_Data!AM202="",AM30,Raw_Data!AM202),"Beat","In-line")))</f>
        <v>Beat</v>
      </c>
      <c r="AN33" s="100"/>
      <c r="AO33" s="100"/>
      <c r="AP33" s="102" t="s">
        <v>388</v>
      </c>
    </row>
    <row r="34" spans="1:42" ht="15" customHeight="1" x14ac:dyDescent="0.15">
      <c r="A34" s="97" t="s">
        <v>389</v>
      </c>
      <c r="B34" s="101">
        <f>IF(Raw_Data!B216="","",Raw_Data!B216)</f>
        <v>50</v>
      </c>
      <c r="C34" s="101">
        <f>IF(Raw_Data!C216="","",Raw_Data!C216)</f>
        <v>55</v>
      </c>
      <c r="D34" s="101">
        <f>IF(Raw_Data!D216="","",Raw_Data!D216)</f>
        <v>65</v>
      </c>
      <c r="E34" s="101"/>
      <c r="F34" s="101"/>
      <c r="G34" s="101"/>
      <c r="H34" s="101"/>
      <c r="I34" s="101"/>
      <c r="J34" s="101"/>
      <c r="K34" s="101"/>
      <c r="L34" s="101"/>
      <c r="M34" s="101">
        <f>IF(Raw_Data!M216="","",Raw_Data!M216)</f>
        <v>130</v>
      </c>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2" t="s">
        <v>390</v>
      </c>
    </row>
    <row r="35" spans="1:42" ht="15" customHeight="1" x14ac:dyDescent="0.15">
      <c r="A35" s="97" t="s">
        <v>391</v>
      </c>
      <c r="B35" s="107">
        <f>IF(OR(Raw_Data!B216="",Raw_Data!B217=""),"",(Raw_Data!B216+Raw_Data!B217)/2)</f>
        <v>55</v>
      </c>
      <c r="C35" s="107">
        <f>IF(OR(Raw_Data!C216="",Raw_Data!C217=""),"",(Raw_Data!C216+Raw_Data!C217)/2)</f>
        <v>60</v>
      </c>
      <c r="D35" s="107">
        <f>IF(OR(Raw_Data!D216="",Raw_Data!D217=""),"",(Raw_Data!D216+Raw_Data!D217)/2)</f>
        <v>70</v>
      </c>
      <c r="E35" s="107"/>
      <c r="F35" s="107"/>
      <c r="G35" s="107"/>
      <c r="H35" s="107"/>
      <c r="I35" s="107"/>
      <c r="J35" s="107"/>
      <c r="K35" s="107"/>
      <c r="L35" s="107"/>
      <c r="M35" s="107">
        <f>IF(OR(Raw_Data!M216="",Raw_Data!M217=""),"",(Raw_Data!M216+Raw_Data!M217)/2)</f>
        <v>140</v>
      </c>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row>
    <row r="36" spans="1:42" ht="15" customHeight="1" x14ac:dyDescent="0.15">
      <c r="A36" s="97" t="s">
        <v>392</v>
      </c>
      <c r="B36" s="101">
        <f>IF(Raw_Data!B217="","",Raw_Data!B217)</f>
        <v>60</v>
      </c>
      <c r="C36" s="101">
        <f>IF(Raw_Data!C217="","",Raw_Data!C217)</f>
        <v>65</v>
      </c>
      <c r="D36" s="101">
        <f>IF(Raw_Data!D217="","",Raw_Data!D217)</f>
        <v>75</v>
      </c>
      <c r="E36" s="101"/>
      <c r="F36" s="101"/>
      <c r="G36" s="101"/>
      <c r="H36" s="101"/>
      <c r="I36" s="101"/>
      <c r="J36" s="101"/>
      <c r="K36" s="101"/>
      <c r="L36" s="101"/>
      <c r="M36" s="101">
        <f>IF(Raw_Data!M217="","",Raw_Data!M217)</f>
        <v>150</v>
      </c>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row>
    <row r="37" spans="1:42" ht="15" customHeight="1" x14ac:dyDescent="0.15">
      <c r="A37" s="97" t="s">
        <v>366</v>
      </c>
      <c r="B37" s="101">
        <f>IF(Raw_Data!B218="","",Raw_Data!B218)</f>
        <v>54</v>
      </c>
      <c r="C37" s="101">
        <f>IF(Raw_Data!C218="","",Raw_Data!C218)</f>
        <v>54</v>
      </c>
      <c r="D37" s="101">
        <f>IF(Raw_Data!D218="","",Raw_Data!D218)</f>
        <v>69</v>
      </c>
      <c r="E37" s="101"/>
      <c r="F37" s="101"/>
      <c r="G37" s="101"/>
      <c r="H37" s="101"/>
      <c r="I37" s="101"/>
      <c r="J37" s="101"/>
      <c r="K37" s="101"/>
      <c r="L37" s="101"/>
      <c r="M37" s="101">
        <f>IF(Raw_Data!M218="","",Raw_Data!M218)</f>
        <v>145</v>
      </c>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2" t="s">
        <v>393</v>
      </c>
    </row>
    <row r="38" spans="1:42" ht="15" customHeight="1" x14ac:dyDescent="0.15">
      <c r="A38" s="97" t="s">
        <v>383</v>
      </c>
      <c r="B38" s="103">
        <f>IF(NOT(ISNUMBER(B37)),"n.a.",B37/B35-1)</f>
        <v>-1.8181818181818188E-2</v>
      </c>
      <c r="C38" s="103">
        <f>IF(NOT(ISNUMBER(C37)),"n.a.",C37/C35-1)</f>
        <v>-9.9999999999999978E-2</v>
      </c>
      <c r="D38" s="103">
        <f>IF(NOT(ISNUMBER(D37)),"n.a.",D37/D35-1)</f>
        <v>-1.4285714285714235E-2</v>
      </c>
      <c r="E38" s="103"/>
      <c r="F38" s="103"/>
      <c r="G38" s="103"/>
      <c r="H38" s="103"/>
      <c r="I38" s="103"/>
      <c r="J38" s="103"/>
      <c r="K38" s="103"/>
      <c r="L38" s="103"/>
      <c r="M38" s="103">
        <f>IF(NOT(ISNUMBER(M37)),"n.a.",M37/M35-1)</f>
        <v>3.5714285714285809E-2</v>
      </c>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2" t="s">
        <v>394</v>
      </c>
    </row>
    <row r="39" spans="1:42" ht="15" customHeight="1" x14ac:dyDescent="0.15">
      <c r="A39" s="97" t="s">
        <v>370</v>
      </c>
      <c r="B39" s="100" t="str">
        <f>IF(B35="","",IF(NOT(ISNUMBER(B37)),"N/M",IF(B37&lt;B34,"Beat",IF(B37&gt;B36,"Miss","In-line"))))</f>
        <v>In-line</v>
      </c>
      <c r="C39" s="100" t="str">
        <f>IF(C35="","",IF(NOT(ISNUMBER(C37)),"N/M",IF(C37&lt;C34,"Beat",IF(C37&gt;C36,"Miss","In-line"))))</f>
        <v>Beat</v>
      </c>
      <c r="D39" s="100" t="str">
        <f>IF(D35="","",IF(NOT(ISNUMBER(D37)),"N/M",IF(D37&lt;D34,"Beat",IF(D37&gt;D36,"Miss","In-line"))))</f>
        <v>In-line</v>
      </c>
      <c r="E39" s="100"/>
      <c r="F39" s="100"/>
      <c r="G39" s="100"/>
      <c r="H39" s="100"/>
      <c r="I39" s="100"/>
      <c r="J39" s="100"/>
      <c r="K39" s="100"/>
      <c r="L39" s="100"/>
      <c r="M39" s="100" t="str">
        <f>IF(M35="","",IF(NOT(ISNUMBER(M37)),"N/M",IF(M37&lt;M34,"Beat",IF(M37&gt;M36,"Miss","In-line"))))</f>
        <v>In-line</v>
      </c>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c r="AO39" s="100"/>
      <c r="AP39" s="102" t="s">
        <v>395</v>
      </c>
    </row>
    <row r="41" spans="1:42" ht="15" customHeight="1" x14ac:dyDescent="0.15">
      <c r="A41" s="96" t="s">
        <v>396</v>
      </c>
    </row>
    <row r="42" spans="1:42" ht="15" customHeight="1" x14ac:dyDescent="0.15">
      <c r="A42" s="97" t="s">
        <v>397</v>
      </c>
      <c r="B42" s="101">
        <f>IF(Raw_Data!B219="","",Raw_Data!B219)</f>
        <v>-4</v>
      </c>
      <c r="C42" s="101">
        <f>IF(Raw_Data!C219="","",Raw_Data!C219)</f>
        <v>-3</v>
      </c>
      <c r="D42" s="101">
        <f>IF(Raw_Data!D219="","",Raw_Data!D219)</f>
        <v>-2</v>
      </c>
      <c r="E42" s="101"/>
      <c r="F42" s="101"/>
      <c r="G42" s="101">
        <f>IF(Raw_Data!G219="","",Raw_Data!G219)</f>
        <v>15</v>
      </c>
      <c r="H42" s="101">
        <f>IF(Raw_Data!H219="","",Raw_Data!H219)</f>
        <v>20</v>
      </c>
      <c r="I42" s="101">
        <f>IF(Raw_Data!I219="","",Raw_Data!I219)</f>
        <v>21</v>
      </c>
      <c r="J42" s="101">
        <f>IF(Raw_Data!J219="","",Raw_Data!J219)</f>
        <v>20</v>
      </c>
      <c r="K42" s="101">
        <f>IF(Raw_Data!K219="","",Raw_Data!K219)</f>
        <v>27</v>
      </c>
      <c r="L42" s="101">
        <f>IF(Raw_Data!L219="","",Raw_Data!L219)</f>
        <v>25</v>
      </c>
      <c r="M42" s="101">
        <f>IF(Raw_Data!M219="","",Raw_Data!M219)</f>
        <v>25</v>
      </c>
      <c r="N42" s="101">
        <f>IF(Raw_Data!N219="","",Raw_Data!N219)</f>
        <v>25</v>
      </c>
      <c r="O42" s="101">
        <f>IF(Raw_Data!O219="","",Raw_Data!O219)</f>
        <v>-50</v>
      </c>
      <c r="P42" s="101">
        <f>IF(Raw_Data!P219="","",Raw_Data!P219)</f>
        <v>-55</v>
      </c>
      <c r="Q42" s="101">
        <f>IF(Raw_Data!Q219="","",Raw_Data!Q219)</f>
        <v>-55</v>
      </c>
      <c r="R42" s="101">
        <f>IF(Raw_Data!R219="","",Raw_Data!R219)</f>
        <v>-50</v>
      </c>
      <c r="S42" s="101">
        <f>IF(Raw_Data!S219="","",Raw_Data!S219)</f>
        <v>-50</v>
      </c>
      <c r="T42" s="101">
        <f>IF(Raw_Data!T219="","",Raw_Data!T219)</f>
        <v>-60</v>
      </c>
      <c r="U42" s="101">
        <f>IF(Raw_Data!U219="","",Raw_Data!U219)</f>
        <v>-60</v>
      </c>
      <c r="V42" s="101">
        <f>IF(Raw_Data!V219="","",Raw_Data!V219)</f>
        <v>-55</v>
      </c>
      <c r="W42" s="101">
        <f>IF(Raw_Data!W219="","",Raw_Data!W219)</f>
        <v>-40</v>
      </c>
      <c r="X42" s="101">
        <f>IF(Raw_Data!X219="","",Raw_Data!X219)</f>
        <v>-10</v>
      </c>
      <c r="Y42" s="101">
        <f>IF(Raw_Data!Y219="","",Raw_Data!Y219)</f>
        <v>40</v>
      </c>
      <c r="Z42" s="101">
        <f>IF(Raw_Data!Z219="","",Raw_Data!Z219)</f>
        <v>50</v>
      </c>
      <c r="AA42" s="101">
        <f>IF(Raw_Data!AA219="","",Raw_Data!AA219)</f>
        <v>90</v>
      </c>
      <c r="AB42" s="101">
        <f>IF(Raw_Data!AB219="","",Raw_Data!AB219)</f>
        <v>100</v>
      </c>
      <c r="AC42" s="101">
        <f>IF(Raw_Data!AC219="","",Raw_Data!AC219)</f>
        <v>200</v>
      </c>
      <c r="AD42" s="101">
        <f>IF(Raw_Data!AD219="","",Raw_Data!AD219)</f>
        <v>250</v>
      </c>
      <c r="AE42" s="101">
        <f>IF(Raw_Data!AE219="","",Raw_Data!AE219)</f>
        <v>300</v>
      </c>
      <c r="AF42" s="101">
        <f>IF(Raw_Data!AF219="","",Raw_Data!AF219)</f>
        <v>350</v>
      </c>
      <c r="AG42" s="101">
        <f>IF(Raw_Data!AG219="","",Raw_Data!AG219)</f>
        <v>400</v>
      </c>
      <c r="AH42" s="101">
        <f>IF(Raw_Data!AH219="","",Raw_Data!AH219)</f>
        <v>400</v>
      </c>
      <c r="AI42" s="101">
        <f>IF(Raw_Data!AI219="","",Raw_Data!AI219)</f>
        <v>450</v>
      </c>
      <c r="AJ42" s="101">
        <f>IF(Raw_Data!AJ219="","",Raw_Data!AJ219)</f>
        <v>500</v>
      </c>
      <c r="AK42" s="101">
        <f>IF(Raw_Data!AK219="","",Raw_Data!AK219)</f>
        <v>500</v>
      </c>
      <c r="AL42" s="101"/>
      <c r="AM42" s="101"/>
      <c r="AN42" s="101"/>
      <c r="AO42" s="101"/>
      <c r="AP42" s="102" t="s">
        <v>398</v>
      </c>
    </row>
    <row r="43" spans="1:42" ht="15" customHeight="1" x14ac:dyDescent="0.15">
      <c r="A43" s="97" t="s">
        <v>366</v>
      </c>
      <c r="B43" s="101">
        <f>IF(Raw_Data!B220="","",Raw_Data!B220)</f>
        <v>-2</v>
      </c>
      <c r="C43" s="101">
        <f>IF(Raw_Data!C220="","",Raw_Data!C220)</f>
        <v>0</v>
      </c>
      <c r="D43" s="101">
        <f>IF(Raw_Data!D220="","",Raw_Data!D220)</f>
        <v>2</v>
      </c>
      <c r="E43" s="101"/>
      <c r="F43" s="101"/>
      <c r="G43" s="101">
        <f>IF(Raw_Data!G220="","",Raw_Data!G220)</f>
        <v>21</v>
      </c>
      <c r="H43" s="101">
        <f>IF(Raw_Data!H220="","",Raw_Data!H220)</f>
        <v>21</v>
      </c>
      <c r="I43" s="101">
        <f>IF(Raw_Data!I220="","",Raw_Data!I220)</f>
        <v>29</v>
      </c>
      <c r="J43" s="101">
        <f>IF(Raw_Data!J220="","",Raw_Data!J220)</f>
        <v>31</v>
      </c>
      <c r="K43" s="101">
        <f>IF(Raw_Data!K220="","",Raw_Data!K220)</f>
        <v>35</v>
      </c>
      <c r="L43" s="101">
        <f>IF(Raw_Data!L220="","",Raw_Data!L220)</f>
        <v>33</v>
      </c>
      <c r="M43" s="101">
        <f>IF(Raw_Data!M220="","",Raw_Data!M220)</f>
        <v>26</v>
      </c>
      <c r="N43" s="101">
        <f>IF(Raw_Data!N220="","",Raw_Data!N220)</f>
        <v>9</v>
      </c>
      <c r="O43" s="101">
        <f>IF(Raw_Data!O220="","",Raw_Data!O220)</f>
        <v>-39</v>
      </c>
      <c r="P43" s="101">
        <f>IF(Raw_Data!P220="","",Raw_Data!P220)</f>
        <v>-45</v>
      </c>
      <c r="Q43" s="101">
        <f>IF(Raw_Data!Q220="","",Raw_Data!Q220)</f>
        <v>-45</v>
      </c>
      <c r="R43" s="101">
        <f>IF(Raw_Data!R220="","",Raw_Data!R220)</f>
        <v>-45</v>
      </c>
      <c r="S43" s="101">
        <f>IF(Raw_Data!S220="","",Raw_Data!S220)</f>
        <v>-49</v>
      </c>
      <c r="T43" s="101">
        <f>IF(Raw_Data!T220="","",Raw_Data!T220)</f>
        <v>-52</v>
      </c>
      <c r="U43" s="101">
        <f>IF(Raw_Data!U220="","",Raw_Data!U220)</f>
        <v>-52</v>
      </c>
      <c r="V43" s="101">
        <f>IF(Raw_Data!V220="","",Raw_Data!V220)</f>
        <v>-45</v>
      </c>
      <c r="W43" s="101">
        <f>IF(Raw_Data!W220="","",Raw_Data!W220)</f>
        <v>-16</v>
      </c>
      <c r="X43" s="101">
        <f>IF(Raw_Data!X220="","",Raw_Data!X220)</f>
        <v>24</v>
      </c>
      <c r="Y43" s="101">
        <f>IF(Raw_Data!Y220="","",Raw_Data!Y220)</f>
        <v>43</v>
      </c>
      <c r="Z43" s="101">
        <f>IF(Raw_Data!Z220="","",Raw_Data!Z220)</f>
        <v>84</v>
      </c>
      <c r="AA43" s="101">
        <f>IF(Raw_Data!AA220="","",Raw_Data!AA220)</f>
        <v>120</v>
      </c>
      <c r="AB43" s="101">
        <f>IF(Raw_Data!AB220="","",Raw_Data!AB220)</f>
        <v>175</v>
      </c>
      <c r="AC43" s="101">
        <f>IF(Raw_Data!AC220="","",Raw_Data!AC220)</f>
        <v>232</v>
      </c>
      <c r="AD43" s="101">
        <f>IF(Raw_Data!AD220="","",Raw_Data!AD220)</f>
        <v>302</v>
      </c>
      <c r="AE43" s="101">
        <f>IF(Raw_Data!AE220="","",Raw_Data!AE220)</f>
        <v>380</v>
      </c>
      <c r="AF43" s="101">
        <f>IF(Raw_Data!AF220="","",Raw_Data!AF220)</f>
        <v>411</v>
      </c>
      <c r="AG43" s="101">
        <f>IF(Raw_Data!AG220="","",Raw_Data!AG220)</f>
        <v>457</v>
      </c>
      <c r="AH43" s="101">
        <f>IF(Raw_Data!AH220="","",Raw_Data!AH220)</f>
        <v>448</v>
      </c>
      <c r="AI43" s="101">
        <f>IF(Raw_Data!AI220="","",Raw_Data!AI220)</f>
        <v>520</v>
      </c>
      <c r="AJ43" s="101">
        <f>IF(Raw_Data!AJ220="","",Raw_Data!AJ220)</f>
        <v>573</v>
      </c>
      <c r="AK43" s="101">
        <f>IF(Raw_Data!AK220="","",Raw_Data!AK220)</f>
        <v>620</v>
      </c>
      <c r="AL43" s="101"/>
      <c r="AM43" s="101"/>
      <c r="AN43" s="101"/>
      <c r="AO43" s="101"/>
      <c r="AP43" s="102" t="s">
        <v>399</v>
      </c>
    </row>
    <row r="44" spans="1:42" ht="15" customHeight="1" x14ac:dyDescent="0.15">
      <c r="A44" s="97" t="s">
        <v>383</v>
      </c>
      <c r="B44" s="107">
        <f>IF(NOT(ISNUMBER(B43)),"n.a.",B43-IF(Raw_Data!B203="",B42,Raw_Data!B203))</f>
        <v>2</v>
      </c>
      <c r="C44" s="107">
        <f>IF(NOT(ISNUMBER(C43)),"n.a.",C43-IF(Raw_Data!C203="",C42,Raw_Data!C203))</f>
        <v>3</v>
      </c>
      <c r="D44" s="107">
        <f>IF(NOT(ISNUMBER(D43)),"n.a.",D43-IF(Raw_Data!D203="",D42,Raw_Data!D203))</f>
        <v>4</v>
      </c>
      <c r="E44" s="107"/>
      <c r="F44" s="107"/>
      <c r="G44" s="107">
        <f>IF(NOT(ISNUMBER(G43)),"n.a.",G43-IF(Raw_Data!G203="",G42,Raw_Data!G203))</f>
        <v>6</v>
      </c>
      <c r="H44" s="107">
        <f>IF(NOT(ISNUMBER(H43)),"n.a.",H43-IF(Raw_Data!H203="",H42,Raw_Data!H203))</f>
        <v>1</v>
      </c>
      <c r="I44" s="107">
        <f>IF(NOT(ISNUMBER(I43)),"n.a.",I43-IF(Raw_Data!I203="",I42,Raw_Data!I203))</f>
        <v>4</v>
      </c>
      <c r="J44" s="107">
        <f>IF(NOT(ISNUMBER(J43)),"n.a.",J43-IF(Raw_Data!J203="",J42,Raw_Data!J203))</f>
        <v>11</v>
      </c>
      <c r="K44" s="107">
        <f>IF(NOT(ISNUMBER(K43)),"n.a.",K43-IF(Raw_Data!K203="",K42,Raw_Data!K203))</f>
        <v>8</v>
      </c>
      <c r="L44" s="107">
        <f>IF(NOT(ISNUMBER(L43)),"n.a.",L43-IF(Raw_Data!L203="",L42,Raw_Data!L203))</f>
        <v>8</v>
      </c>
      <c r="M44" s="107">
        <f>IF(NOT(ISNUMBER(M43)),"n.a.",M43-IF(Raw_Data!M203="",M42,Raw_Data!M203))</f>
        <v>1</v>
      </c>
      <c r="N44" s="107">
        <f>IF(NOT(ISNUMBER(N43)),"n.a.",N43-IF(Raw_Data!N203="",N42,Raw_Data!N203))</f>
        <v>-16</v>
      </c>
      <c r="O44" s="107">
        <f>IF(NOT(ISNUMBER(O43)),"n.a.",O43-IF(Raw_Data!O203="",O42,Raw_Data!O203))</f>
        <v>11</v>
      </c>
      <c r="P44" s="107">
        <f>IF(NOT(ISNUMBER(P43)),"n.a.",P43-IF(Raw_Data!P203="",P42,Raw_Data!P203))</f>
        <v>10</v>
      </c>
      <c r="Q44" s="107">
        <f>IF(NOT(ISNUMBER(Q43)),"n.a.",Q43-IF(Raw_Data!Q203="",Q42,Raw_Data!Q203))</f>
        <v>10</v>
      </c>
      <c r="R44" s="107">
        <f>IF(NOT(ISNUMBER(R43)),"n.a.",R43-IF(Raw_Data!R203="",R42,Raw_Data!R203))</f>
        <v>5</v>
      </c>
      <c r="S44" s="107">
        <f>IF(NOT(ISNUMBER(S43)),"n.a.",S43-IF(Raw_Data!S203="",S42,Raw_Data!S203))</f>
        <v>1</v>
      </c>
      <c r="T44" s="107">
        <f>IF(NOT(ISNUMBER(T43)),"n.a.",T43-IF(Raw_Data!T203="",T42,Raw_Data!T203))</f>
        <v>8</v>
      </c>
      <c r="U44" s="107">
        <f>IF(NOT(ISNUMBER(U43)),"n.a.",U43-IF(Raw_Data!U203="",U42,Raw_Data!U203))</f>
        <v>8</v>
      </c>
      <c r="V44" s="107">
        <f>IF(NOT(ISNUMBER(V43)),"n.a.",V43-IF(Raw_Data!V203="",V42,Raw_Data!V203))</f>
        <v>10</v>
      </c>
      <c r="W44" s="107">
        <f>IF(NOT(ISNUMBER(W43)),"n.a.",W43-IF(Raw_Data!W203="",W42,Raw_Data!W203))</f>
        <v>0</v>
      </c>
      <c r="X44" s="107">
        <f>IF(NOT(ISNUMBER(X43)),"n.a.",X43-IF(Raw_Data!X203="",X42,Raw_Data!X203))</f>
        <v>34</v>
      </c>
      <c r="Y44" s="107">
        <f>IF(NOT(ISNUMBER(Y43)),"n.a.",Y43-IF(Raw_Data!Y203="",Y42,Raw_Data!Y203))</f>
        <v>3</v>
      </c>
      <c r="Z44" s="107">
        <f>IF(NOT(ISNUMBER(Z43)),"n.a.",Z43-IF(Raw_Data!Z203="",Z42,Raw_Data!Z203))</f>
        <v>34</v>
      </c>
      <c r="AA44" s="107">
        <f>IF(NOT(ISNUMBER(AA43)),"n.a.",AA43-IF(Raw_Data!AA203="",AA42,Raw_Data!AA203))</f>
        <v>30</v>
      </c>
      <c r="AB44" s="107">
        <f>IF(NOT(ISNUMBER(AB43)),"n.a.",AB43-IF(Raw_Data!AB203="",AB42,Raw_Data!AB203))</f>
        <v>75</v>
      </c>
      <c r="AC44" s="107">
        <f>IF(NOT(ISNUMBER(AC43)),"n.a.",AC43-IF(Raw_Data!AC203="",AC42,Raw_Data!AC203))</f>
        <v>32</v>
      </c>
      <c r="AD44" s="107">
        <f>IF(NOT(ISNUMBER(AD43)),"n.a.",AD43-IF(Raw_Data!AD203="",AD42,Raw_Data!AD203))</f>
        <v>52</v>
      </c>
      <c r="AE44" s="107">
        <f>IF(NOT(ISNUMBER(AE43)),"n.a.",AE43-IF(Raw_Data!AE203="",AE42,Raw_Data!AE203))</f>
        <v>80</v>
      </c>
      <c r="AF44" s="107">
        <f>IF(NOT(ISNUMBER(AF43)),"n.a.",AF43-IF(Raw_Data!AF203="",AF42,Raw_Data!AF203))</f>
        <v>61</v>
      </c>
      <c r="AG44" s="107">
        <f>IF(NOT(ISNUMBER(AG43)),"n.a.",AG43-IF(Raw_Data!AG203="",AG42,Raw_Data!AG203))</f>
        <v>57</v>
      </c>
      <c r="AH44" s="107">
        <f>IF(NOT(ISNUMBER(AH43)),"n.a.",AH43-IF(Raw_Data!AH203="",AH42,Raw_Data!AH203))</f>
        <v>48</v>
      </c>
      <c r="AI44" s="107">
        <f>IF(NOT(ISNUMBER(AI43)),"n.a.",AI43-IF(Raw_Data!AI203="",AI42,Raw_Data!AI203))</f>
        <v>70</v>
      </c>
      <c r="AJ44" s="107">
        <f>IF(NOT(ISNUMBER(AJ43)),"n.a.",AJ43-IF(Raw_Data!AJ203="",AJ42,Raw_Data!AJ203))</f>
        <v>73</v>
      </c>
      <c r="AK44" s="107">
        <f>IF(NOT(ISNUMBER(AK43)),"n.a.",AK43-IF(Raw_Data!AK203="",AK42,Raw_Data!AK203))</f>
        <v>120</v>
      </c>
      <c r="AL44" s="107"/>
      <c r="AM44" s="107"/>
      <c r="AN44" s="107"/>
      <c r="AO44" s="107"/>
      <c r="AP44" s="102" t="s">
        <v>400</v>
      </c>
    </row>
    <row r="45" spans="1:42" ht="15" customHeight="1" x14ac:dyDescent="0.15">
      <c r="A45" s="97" t="s">
        <v>370</v>
      </c>
      <c r="B45" s="100" t="str">
        <f>IF(NOT(ISNUMBER(B43)),"n.a.",IF(B43&lt;IF(Raw_Data!B203="",B42,Raw_Data!B203),"Miss",IF(B43&gt;IF(Raw_Data!B203="",B42,Raw_Data!B203),"Beat","In-line")))</f>
        <v>Beat</v>
      </c>
      <c r="C45" s="100" t="str">
        <f>IF(NOT(ISNUMBER(C43)),"n.a.",IF(C43&lt;IF(Raw_Data!C203="",C42,Raw_Data!C203),"Miss",IF(C43&gt;IF(Raw_Data!C203="",C42,Raw_Data!C203),"Beat","In-line")))</f>
        <v>Beat</v>
      </c>
      <c r="D45" s="100" t="str">
        <f>IF(NOT(ISNUMBER(D43)),"n.a.",IF(D43&lt;IF(Raw_Data!D203="",D42,Raw_Data!D203),"Miss",IF(D43&gt;IF(Raw_Data!D203="",D42,Raw_Data!D203),"Beat","In-line")))</f>
        <v>Beat</v>
      </c>
      <c r="E45" s="100"/>
      <c r="F45" s="100"/>
      <c r="G45" s="100" t="str">
        <f>IF(NOT(ISNUMBER(G43)),"n.a.",IF(G43&lt;IF(Raw_Data!G203="",G42,Raw_Data!G203),"Miss",IF(G43&gt;IF(Raw_Data!G203="",G42,Raw_Data!G203),"Beat","In-line")))</f>
        <v>Beat</v>
      </c>
      <c r="H45" s="100" t="str">
        <f>IF(NOT(ISNUMBER(H43)),"n.a.",IF(H43&lt;IF(Raw_Data!H203="",H42,Raw_Data!H203),"Miss",IF(H43&gt;IF(Raw_Data!H203="",H42,Raw_Data!H203),"Beat","In-line")))</f>
        <v>Beat</v>
      </c>
      <c r="I45" s="100" t="str">
        <f>IF(NOT(ISNUMBER(I43)),"n.a.",IF(I43&lt;IF(Raw_Data!I203="",I42,Raw_Data!I203),"Miss",IF(I43&gt;IF(Raw_Data!I203="",I42,Raw_Data!I203),"Beat","In-line")))</f>
        <v>Beat</v>
      </c>
      <c r="J45" s="100" t="str">
        <f>IF(NOT(ISNUMBER(J43)),"n.a.",IF(J43&lt;IF(Raw_Data!J203="",J42,Raw_Data!J203),"Miss",IF(J43&gt;IF(Raw_Data!J203="",J42,Raw_Data!J203),"Beat","In-line")))</f>
        <v>Beat</v>
      </c>
      <c r="K45" s="100" t="str">
        <f>IF(NOT(ISNUMBER(K43)),"n.a.",IF(K43&lt;IF(Raw_Data!K203="",K42,Raw_Data!K203),"Miss",IF(K43&gt;IF(Raw_Data!K203="",K42,Raw_Data!K203),"Beat","In-line")))</f>
        <v>Beat</v>
      </c>
      <c r="L45" s="100" t="str">
        <f>IF(NOT(ISNUMBER(L43)),"n.a.",IF(L43&lt;IF(Raw_Data!L203="",L42,Raw_Data!L203),"Miss",IF(L43&gt;IF(Raw_Data!L203="",L42,Raw_Data!L203),"Beat","In-line")))</f>
        <v>Beat</v>
      </c>
      <c r="M45" s="100" t="str">
        <f>IF(NOT(ISNUMBER(M43)),"n.a.",IF(M43&lt;IF(Raw_Data!M203="",M42,Raw_Data!M203),"Miss",IF(M43&gt;IF(Raw_Data!M203="",M42,Raw_Data!M203),"Beat","In-line")))</f>
        <v>Beat</v>
      </c>
      <c r="N45" s="100" t="str">
        <f>IF(NOT(ISNUMBER(N43)),"n.a.",IF(N43&lt;IF(Raw_Data!N203="",N42,Raw_Data!N203),"Miss",IF(N43&gt;IF(Raw_Data!N203="",N42,Raw_Data!N203),"Beat","In-line")))</f>
        <v>Miss</v>
      </c>
      <c r="O45" s="100" t="str">
        <f>IF(NOT(ISNUMBER(O43)),"n.a.",IF(O43&lt;IF(Raw_Data!O203="",O42,Raw_Data!O203),"Miss",IF(O43&gt;IF(Raw_Data!O203="",O42,Raw_Data!O203),"Beat","In-line")))</f>
        <v>Beat</v>
      </c>
      <c r="P45" s="100" t="str">
        <f>IF(NOT(ISNUMBER(P43)),"n.a.",IF(P43&lt;IF(Raw_Data!P203="",P42,Raw_Data!P203),"Miss",IF(P43&gt;IF(Raw_Data!P203="",P42,Raw_Data!P203),"Beat","In-line")))</f>
        <v>Beat</v>
      </c>
      <c r="Q45" s="100" t="str">
        <f>IF(NOT(ISNUMBER(Q43)),"n.a.",IF(Q43&lt;IF(Raw_Data!Q203="",Q42,Raw_Data!Q203),"Miss",IF(Q43&gt;IF(Raw_Data!Q203="",Q42,Raw_Data!Q203),"Beat","In-line")))</f>
        <v>Beat</v>
      </c>
      <c r="R45" s="100" t="str">
        <f>IF(NOT(ISNUMBER(R43)),"n.a.",IF(R43&lt;IF(Raw_Data!R203="",R42,Raw_Data!R203),"Miss",IF(R43&gt;IF(Raw_Data!R203="",R42,Raw_Data!R203),"Beat","In-line")))</f>
        <v>Beat</v>
      </c>
      <c r="S45" s="100" t="str">
        <f>IF(NOT(ISNUMBER(S43)),"n.a.",IF(S43&lt;IF(Raw_Data!S203="",S42,Raw_Data!S203),"Miss",IF(S43&gt;IF(Raw_Data!S203="",S42,Raw_Data!S203),"Beat","In-line")))</f>
        <v>Beat</v>
      </c>
      <c r="T45" s="100" t="str">
        <f>IF(NOT(ISNUMBER(T43)),"n.a.",IF(T43&lt;IF(Raw_Data!T203="",T42,Raw_Data!T203),"Miss",IF(T43&gt;IF(Raw_Data!T203="",T42,Raw_Data!T203),"Beat","In-line")))</f>
        <v>Beat</v>
      </c>
      <c r="U45" s="100" t="str">
        <f>IF(NOT(ISNUMBER(U43)),"n.a.",IF(U43&lt;IF(Raw_Data!U203="",U42,Raw_Data!U203),"Miss",IF(U43&gt;IF(Raw_Data!U203="",U42,Raw_Data!U203),"Beat","In-line")))</f>
        <v>Beat</v>
      </c>
      <c r="V45" s="100" t="str">
        <f>IF(NOT(ISNUMBER(V43)),"n.a.",IF(V43&lt;IF(Raw_Data!V203="",V42,Raw_Data!V203),"Miss",IF(V43&gt;IF(Raw_Data!V203="",V42,Raw_Data!V203),"Beat","In-line")))</f>
        <v>Beat</v>
      </c>
      <c r="W45" s="100" t="str">
        <f>IF(NOT(ISNUMBER(W43)),"n.a.",IF(W43&lt;IF(Raw_Data!W203="",W42,Raw_Data!W203),"Miss",IF(W43&gt;IF(Raw_Data!W203="",W42,Raw_Data!W203),"Beat","In-line")))</f>
        <v>In-line</v>
      </c>
      <c r="X45" s="100" t="str">
        <f>IF(NOT(ISNUMBER(X43)),"n.a.",IF(X43&lt;IF(Raw_Data!X203="",X42,Raw_Data!X203),"Miss",IF(X43&gt;IF(Raw_Data!X203="",X42,Raw_Data!X203),"Beat","In-line")))</f>
        <v>Beat</v>
      </c>
      <c r="Y45" s="100" t="str">
        <f>IF(NOT(ISNUMBER(Y43)),"n.a.",IF(Y43&lt;IF(Raw_Data!Y203="",Y42,Raw_Data!Y203),"Miss",IF(Y43&gt;IF(Raw_Data!Y203="",Y42,Raw_Data!Y203),"Beat","In-line")))</f>
        <v>Beat</v>
      </c>
      <c r="Z45" s="100" t="str">
        <f>IF(NOT(ISNUMBER(Z43)),"n.a.",IF(Z43&lt;IF(Raw_Data!Z203="",Z42,Raw_Data!Z203),"Miss",IF(Z43&gt;IF(Raw_Data!Z203="",Z42,Raw_Data!Z203),"Beat","In-line")))</f>
        <v>Beat</v>
      </c>
      <c r="AA45" s="100" t="str">
        <f>IF(NOT(ISNUMBER(AA43)),"n.a.",IF(AA43&lt;IF(Raw_Data!AA203="",AA42,Raw_Data!AA203),"Miss",IF(AA43&gt;IF(Raw_Data!AA203="",AA42,Raw_Data!AA203),"Beat","In-line")))</f>
        <v>Beat</v>
      </c>
      <c r="AB45" s="100" t="str">
        <f>IF(NOT(ISNUMBER(AB43)),"n.a.",IF(AB43&lt;IF(Raw_Data!AB203="",AB42,Raw_Data!AB203),"Miss",IF(AB43&gt;IF(Raw_Data!AB203="",AB42,Raw_Data!AB203),"Beat","In-line")))</f>
        <v>Beat</v>
      </c>
      <c r="AC45" s="100" t="str">
        <f>IF(NOT(ISNUMBER(AC43)),"n.a.",IF(AC43&lt;IF(Raw_Data!AC203="",AC42,Raw_Data!AC203),"Miss",IF(AC43&gt;IF(Raw_Data!AC203="",AC42,Raw_Data!AC203),"Beat","In-line")))</f>
        <v>Beat</v>
      </c>
      <c r="AD45" s="100" t="str">
        <f>IF(NOT(ISNUMBER(AD43)),"n.a.",IF(AD43&lt;IF(Raw_Data!AD203="",AD42,Raw_Data!AD203),"Miss",IF(AD43&gt;IF(Raw_Data!AD203="",AD42,Raw_Data!AD203),"Beat","In-line")))</f>
        <v>Beat</v>
      </c>
      <c r="AE45" s="100" t="str">
        <f>IF(NOT(ISNUMBER(AE43)),"n.a.",IF(AE43&lt;IF(Raw_Data!AE203="",AE42,Raw_Data!AE203),"Miss",IF(AE43&gt;IF(Raw_Data!AE203="",AE42,Raw_Data!AE203),"Beat","In-line")))</f>
        <v>Beat</v>
      </c>
      <c r="AF45" s="100" t="str">
        <f>IF(NOT(ISNUMBER(AF43)),"n.a.",IF(AF43&lt;IF(Raw_Data!AF203="",AF42,Raw_Data!AF203),"Miss",IF(AF43&gt;IF(Raw_Data!AF203="",AF42,Raw_Data!AF203),"Beat","In-line")))</f>
        <v>Beat</v>
      </c>
      <c r="AG45" s="100" t="str">
        <f>IF(NOT(ISNUMBER(AG43)),"n.a.",IF(AG43&lt;IF(Raw_Data!AG203="",AG42,Raw_Data!AG203),"Miss",IF(AG43&gt;IF(Raw_Data!AG203="",AG42,Raw_Data!AG203),"Beat","In-line")))</f>
        <v>Beat</v>
      </c>
      <c r="AH45" s="100" t="str">
        <f>IF(NOT(ISNUMBER(AH43)),"n.a.",IF(AH43&lt;IF(Raw_Data!AH203="",AH42,Raw_Data!AH203),"Miss",IF(AH43&gt;IF(Raw_Data!AH203="",AH42,Raw_Data!AH203),"Beat","In-line")))</f>
        <v>Beat</v>
      </c>
      <c r="AI45" s="100" t="str">
        <f>IF(NOT(ISNUMBER(AI43)),"n.a.",IF(AI43&lt;IF(Raw_Data!AI203="",AI42,Raw_Data!AI203),"Miss",IF(AI43&gt;IF(Raw_Data!AI203="",AI42,Raw_Data!AI203),"Beat","In-line")))</f>
        <v>Beat</v>
      </c>
      <c r="AJ45" s="100" t="str">
        <f>IF(NOT(ISNUMBER(AJ43)),"n.a.",IF(AJ43&lt;IF(Raw_Data!AJ203="",AJ42,Raw_Data!AJ203),"Miss",IF(AJ43&gt;IF(Raw_Data!AJ203="",AJ42,Raw_Data!AJ203),"Beat","In-line")))</f>
        <v>Beat</v>
      </c>
      <c r="AK45" s="100" t="str">
        <f>IF(NOT(ISNUMBER(AK43)),"n.a.",IF(AK43&lt;IF(Raw_Data!AK203="",AK42,Raw_Data!AK203),"Miss",IF(AK43&gt;IF(Raw_Data!AK203="",AK42,Raw_Data!AK203),"Beat","In-line")))</f>
        <v>Beat</v>
      </c>
      <c r="AL45" s="100"/>
      <c r="AM45" s="100"/>
      <c r="AN45" s="100"/>
      <c r="AO45" s="100"/>
      <c r="AP45" s="102" t="s">
        <v>401</v>
      </c>
    </row>
    <row r="46" spans="1:42" ht="15" customHeight="1" x14ac:dyDescent="0.15">
      <c r="A46" s="97" t="s">
        <v>402</v>
      </c>
      <c r="B46" s="105">
        <f>IF(Raw_Data!B223&lt;&gt;"",TEXT(Raw_Data!B223,"0.0%")&amp;"–"&amp;TEXT(Raw_Data!B224,"0.0%"),IF(Raw_Data!B221="","",Raw_Data!B221))</f>
        <v>0.17</v>
      </c>
      <c r="C46" s="105">
        <f>IF(Raw_Data!C223&lt;&gt;"",TEXT(Raw_Data!C223,"0.0%")&amp;"–"&amp;TEXT(Raw_Data!C224,"0.0%"),IF(Raw_Data!C221="","",Raw_Data!C221))</f>
        <v>0.17</v>
      </c>
      <c r="D46" s="105">
        <f>IF(Raw_Data!D223&lt;&gt;"",TEXT(Raw_Data!D223,"0.0%")&amp;"–"&amp;TEXT(Raw_Data!D224,"0.0%"),IF(Raw_Data!D221="","",Raw_Data!D221))</f>
        <v>0.17</v>
      </c>
      <c r="E46" s="105">
        <f>IF(Raw_Data!E223&lt;&gt;"",TEXT(Raw_Data!E223,"0.0%")&amp;"–"&amp;TEXT(Raw_Data!E224,"0.0%"),IF(Raw_Data!E221="","",Raw_Data!E221))</f>
        <v>0.17499999999999999</v>
      </c>
      <c r="F46" s="105">
        <f>IF(Raw_Data!F223&lt;&gt;"",TEXT(Raw_Data!F223,"0.0%")&amp;"–"&amp;TEXT(Raw_Data!F224,"0.0%"),IF(Raw_Data!F221="","",Raw_Data!F221))</f>
        <v>0.12</v>
      </c>
      <c r="G46" s="105">
        <f>IF(Raw_Data!G223&lt;&gt;"",TEXT(Raw_Data!G223,"0.0%")&amp;"–"&amp;TEXT(Raw_Data!G224,"0.0%"),IF(Raw_Data!G221="","",Raw_Data!G221))</f>
        <v>0.11</v>
      </c>
      <c r="H46" s="105">
        <f>IF(Raw_Data!H223&lt;&gt;"",TEXT(Raw_Data!H223,"0.0%")&amp;"–"&amp;TEXT(Raw_Data!H224,"0.0%"),IF(Raw_Data!H221="","",Raw_Data!H221))</f>
        <v>0.09</v>
      </c>
      <c r="I46" s="105">
        <f>IF(Raw_Data!I223&lt;&gt;"",TEXT(Raw_Data!I223,"0.0%")&amp;"–"&amp;TEXT(Raw_Data!I224,"0.0%"),IF(Raw_Data!I221="","",Raw_Data!I221))</f>
        <v>0.08</v>
      </c>
      <c r="J46" s="105">
        <f>IF(Raw_Data!J223&lt;&gt;"",TEXT(Raw_Data!J223,"0.0%")&amp;"–"&amp;TEXT(Raw_Data!J224,"0.0%"),IF(Raw_Data!J221="","",Raw_Data!J221))</f>
        <v>0.1</v>
      </c>
      <c r="K46" s="105">
        <f>IF(Raw_Data!K223&lt;&gt;"",TEXT(Raw_Data!K223,"0.0%")&amp;"–"&amp;TEXT(Raw_Data!K224,"0.0%"),IF(Raw_Data!K221="","",Raw_Data!K221))</f>
        <v>0.1</v>
      </c>
      <c r="L46" s="105">
        <f>IF(Raw_Data!L223&lt;&gt;"",TEXT(Raw_Data!L223,"0.0%")&amp;"–"&amp;TEXT(Raw_Data!L224,"0.0%"),IF(Raw_Data!L221="","",Raw_Data!L221))</f>
        <v>0.1</v>
      </c>
      <c r="M46" s="105">
        <f>IF(Raw_Data!M223&lt;&gt;"",TEXT(Raw_Data!M223,"0.0%")&amp;"–"&amp;TEXT(Raw_Data!M224,"0.0%"),IF(Raw_Data!M221="","",Raw_Data!M221))</f>
        <v>0.09</v>
      </c>
      <c r="N46" s="105">
        <f>IF(Raw_Data!N223&lt;&gt;"",TEXT(Raw_Data!N223,"0.0%")&amp;"–"&amp;TEXT(Raw_Data!N224,"0.0%"),IF(Raw_Data!N221="","",Raw_Data!N221))</f>
        <v>0.09</v>
      </c>
      <c r="O46" s="105">
        <f>IF(Raw_Data!O223&lt;&gt;"",TEXT(Raw_Data!O223,"0.0%")&amp;"–"&amp;TEXT(Raw_Data!O224,"0.0%"),IF(Raw_Data!O221="","",Raw_Data!O221))</f>
        <v>0.09</v>
      </c>
      <c r="P46" s="105">
        <f>IF(Raw_Data!P223&lt;&gt;"",TEXT(Raw_Data!P223,"0.0%")&amp;"–"&amp;TEXT(Raw_Data!P224,"0.0%"),IF(Raw_Data!P221="","",Raw_Data!P221))</f>
        <v>0.08</v>
      </c>
      <c r="Q46" s="105">
        <f>IF(Raw_Data!Q223&lt;&gt;"",TEXT(Raw_Data!Q223,"0.0%")&amp;"–"&amp;TEXT(Raw_Data!Q224,"0.0%"),IF(Raw_Data!Q221="","",Raw_Data!Q221))</f>
        <v>0.08</v>
      </c>
      <c r="R46" s="105">
        <f>IF(Raw_Data!R223&lt;&gt;"",TEXT(Raw_Data!R223,"0.0%")&amp;"–"&amp;TEXT(Raw_Data!R224,"0.0%"),IF(Raw_Data!R221="","",Raw_Data!R221))</f>
        <v>0.1</v>
      </c>
      <c r="S46" s="105">
        <f>IF(Raw_Data!S223&lt;&gt;"",TEXT(Raw_Data!S223,"0.0%")&amp;"–"&amp;TEXT(Raw_Data!S224,"0.0%"),IF(Raw_Data!S221="","",Raw_Data!S221))</f>
        <v>0.1</v>
      </c>
      <c r="T46" s="105">
        <f>IF(Raw_Data!T223&lt;&gt;"",TEXT(Raw_Data!T223,"0.0%")&amp;"–"&amp;TEXT(Raw_Data!T224,"0.0%"),IF(Raw_Data!T221="","",Raw_Data!T221))</f>
        <v>0.11</v>
      </c>
      <c r="U46" s="105">
        <f>IF(Raw_Data!U223&lt;&gt;"",TEXT(Raw_Data!U223,"0.0%")&amp;"–"&amp;TEXT(Raw_Data!U224,"0.0%"),IF(Raw_Data!U221="","",Raw_Data!U221))</f>
        <v>0.11</v>
      </c>
      <c r="V46" s="105">
        <f>IF(Raw_Data!V223&lt;&gt;"",TEXT(Raw_Data!V223,"0.0%")&amp;"–"&amp;TEXT(Raw_Data!V224,"0.0%"),IF(Raw_Data!V221="","",Raw_Data!V221))</f>
        <v>0.11</v>
      </c>
      <c r="W46" s="105">
        <f>IF(Raw_Data!W223&lt;&gt;"",TEXT(Raw_Data!W223,"0.0%")&amp;"–"&amp;TEXT(Raw_Data!W224,"0.0%"),IF(Raw_Data!W221="","",Raw_Data!W221))</f>
        <v>0.125</v>
      </c>
      <c r="X46" s="105">
        <f>IF(Raw_Data!X223&lt;&gt;"",TEXT(Raw_Data!X223,"0.0%")&amp;"–"&amp;TEXT(Raw_Data!X224,"0.0%"),IF(Raw_Data!X221="","",Raw_Data!X221))</f>
        <v>9.5000000000000001E-2</v>
      </c>
      <c r="Y46" s="105">
        <f>IF(Raw_Data!Y223&lt;&gt;"",TEXT(Raw_Data!Y223,"0.0%")&amp;"–"&amp;TEXT(Raw_Data!Y224,"0.0%"),IF(Raw_Data!Y221="","",Raw_Data!Y221))</f>
        <v>0.09</v>
      </c>
      <c r="Z46" s="105">
        <f>IF(Raw_Data!Z223&lt;&gt;"",TEXT(Raw_Data!Z223,"0.0%")&amp;"–"&amp;TEXT(Raw_Data!Z224,"0.0%"),IF(Raw_Data!Z221="","",Raw_Data!Z221))</f>
        <v>0.13</v>
      </c>
      <c r="AA46" s="105">
        <f>IF(Raw_Data!AA223&lt;&gt;"",TEXT(Raw_Data!AA223,"0.0%")&amp;"–"&amp;TEXT(Raw_Data!AA224,"0.0%"),IF(Raw_Data!AA221="","",Raw_Data!AA221))</f>
        <v>0.14000000000000001</v>
      </c>
      <c r="AB46" s="105">
        <f>IF(Raw_Data!AB223&lt;&gt;"",TEXT(Raw_Data!AB223,"0.0%")&amp;"–"&amp;TEXT(Raw_Data!AB224,"0.0%"),IF(Raw_Data!AB221="","",Raw_Data!AB221))</f>
        <v>0.14499999999999999</v>
      </c>
      <c r="AC46" s="105">
        <f>IF(Raw_Data!AC223&lt;&gt;"",TEXT(Raw_Data!AC223,"0.0%")&amp;"–"&amp;TEXT(Raw_Data!AC224,"0.0%"),IF(Raw_Data!AC221="","",Raw_Data!AC221))</f>
        <v>0.15</v>
      </c>
      <c r="AD46" s="105">
        <f>IF(Raw_Data!AD223&lt;&gt;"",TEXT(Raw_Data!AD223,"0.0%")&amp;"–"&amp;TEXT(Raw_Data!AD224,"0.0%"),IF(Raw_Data!AD221="","",Raw_Data!AD221))</f>
        <v>0.17</v>
      </c>
      <c r="AE46" s="105">
        <f>IF(Raw_Data!AE223&lt;&gt;"",TEXT(Raw_Data!AE223,"0.0%")&amp;"–"&amp;TEXT(Raw_Data!AE224,"0.0%"),IF(Raw_Data!AE221="","",Raw_Data!AE221))</f>
        <v>0.17</v>
      </c>
      <c r="AF46" s="105">
        <f>IF(Raw_Data!AF223&lt;&gt;"",TEXT(Raw_Data!AF223,"0.0%")&amp;"–"&amp;TEXT(Raw_Data!AF224,"0.0%"),IF(Raw_Data!AF221="","",Raw_Data!AF221))</f>
        <v>0.17</v>
      </c>
      <c r="AG46" s="105">
        <f>IF(Raw_Data!AG223&lt;&gt;"",TEXT(Raw_Data!AG223,"0.0%")&amp;"–"&amp;TEXT(Raw_Data!AG224,"0.0%"),IF(Raw_Data!AG221="","",Raw_Data!AG221))</f>
        <v>0.16500000000000001</v>
      </c>
      <c r="AH46" s="105">
        <f>IF(Raw_Data!AH223&lt;&gt;"",TEXT(Raw_Data!AH223,"0.0%")&amp;"–"&amp;TEXT(Raw_Data!AH224,"0.0%"),IF(Raw_Data!AH221="","",Raw_Data!AH221))</f>
        <v>0.17</v>
      </c>
      <c r="AI46" s="105">
        <f>IF(Raw_Data!AI223&lt;&gt;"",TEXT(Raw_Data!AI223,"0.0%")&amp;"–"&amp;TEXT(Raw_Data!AI224,"0.0%"),IF(Raw_Data!AI221="","",Raw_Data!AI221))</f>
        <v>0.16500000000000001</v>
      </c>
      <c r="AJ46" s="105">
        <f>IF(Raw_Data!AJ223&lt;&gt;"",TEXT(Raw_Data!AJ223,"0.0%")&amp;"–"&amp;TEXT(Raw_Data!AJ224,"0.0%"),IF(Raw_Data!AJ221="","",Raw_Data!AJ221))</f>
        <v>0.16500000000000001</v>
      </c>
      <c r="AK46" s="105">
        <f>IF(Raw_Data!AK223&lt;&gt;"",TEXT(Raw_Data!AK223,"0.0%")&amp;"–"&amp;TEXT(Raw_Data!AK224,"0.0%"),IF(Raw_Data!AK221="","",Raw_Data!AK221))</f>
        <v>0.17</v>
      </c>
      <c r="AL46" s="105" t="str">
        <f>IF(Raw_Data!AL223&lt;&gt;"",TEXT(Raw_Data!AL223,"0.0%")&amp;"–"&amp;TEXT(Raw_Data!AL224,"0.0%"),IF(Raw_Data!AL221="","",Raw_Data!AL221))</f>
        <v>17.0%–19.0%</v>
      </c>
      <c r="AM46" s="105" t="str">
        <f>IF(Raw_Data!AM223&lt;&gt;"",TEXT(Raw_Data!AM223,"0.0%")&amp;"–"&amp;TEXT(Raw_Data!AM224,"0.0%"),IF(Raw_Data!AM221="","",Raw_Data!AM221))</f>
        <v>16.0%–18.0%</v>
      </c>
      <c r="AN46" s="105" t="str">
        <f>IF(Raw_Data!AN223&lt;&gt;"",TEXT(Raw_Data!AN223,"0.0%")&amp;"–"&amp;TEXT(Raw_Data!AN224,"0.0%"),IF(Raw_Data!AN221="","",Raw_Data!AN221))</f>
        <v>16.0%–18.0%</v>
      </c>
      <c r="AO46" s="105"/>
      <c r="AP46" s="102" t="s">
        <v>403</v>
      </c>
    </row>
    <row r="47" spans="1:42" ht="15" customHeight="1" x14ac:dyDescent="0.15">
      <c r="A47" s="97" t="s">
        <v>366</v>
      </c>
      <c r="B47" s="103">
        <f>IF(OR(Raw_Data!B226="",Raw_Data!B226&lt;=0,Raw_Data!B225=""),"n.a.",Raw_Data!B225/Raw_Data!B226)</f>
        <v>5.4104477611940295E-2</v>
      </c>
      <c r="C47" s="103">
        <f>IF(OR(Raw_Data!C226="",Raw_Data!C226&lt;=0,Raw_Data!C225=""),"n.a.",Raw_Data!C225/Raw_Data!C226)</f>
        <v>0.1476608187134503</v>
      </c>
      <c r="D47" s="103">
        <f>IF(OR(Raw_Data!D226="",Raw_Data!D226&lt;=0,Raw_Data!D225=""),"n.a.",Raw_Data!D225/Raw_Data!D226)</f>
        <v>6.4732142857142863E-2</v>
      </c>
      <c r="E47" s="103">
        <f>IF(OR(Raw_Data!E226="",Raw_Data!E226&lt;=0,Raw_Data!E225=""),"n.a.",Raw_Data!E225/Raw_Data!E226)</f>
        <v>-3.7071362372567189E-2</v>
      </c>
      <c r="F47" s="103">
        <f>IF(OR(Raw_Data!F226="",Raw_Data!F226&lt;=0,Raw_Data!F225=""),"n.a.",Raw_Data!F225/Raw_Data!F226)</f>
        <v>5.1106025934401222E-2</v>
      </c>
      <c r="G47" s="103">
        <f>IF(OR(Raw_Data!G226="",Raw_Data!G226&lt;=0,Raw_Data!G225=""),"n.a.",Raw_Data!G225/Raw_Data!G226)</f>
        <v>6.6949152542372881E-2</v>
      </c>
      <c r="H47" s="103">
        <f>IF(OR(Raw_Data!H226="",Raw_Data!H226&lt;=0,Raw_Data!H225=""),"n.a.",Raw_Data!H225/Raw_Data!H226)</f>
        <v>-0.13783533765032377</v>
      </c>
      <c r="I47" s="103">
        <f>IF(OR(Raw_Data!I226="",Raw_Data!I226&lt;=0,Raw_Data!I225=""),"n.a.",Raw_Data!I225/Raw_Data!I226)</f>
        <v>-0.74691358024691357</v>
      </c>
      <c r="J47" s="103">
        <f>IF(OR(Raw_Data!J226="",Raw_Data!J226&lt;=0,Raw_Data!J225=""),"n.a.",Raw_Data!J225/Raw_Data!J226)</f>
        <v>-1.2853470437017995E-2</v>
      </c>
      <c r="K47" s="103">
        <f>IF(OR(Raw_Data!K226="",Raw_Data!K226&lt;=0,Raw_Data!K225=""),"n.a.",Raw_Data!K225/Raw_Data!K226)</f>
        <v>8.9108910891089105E-2</v>
      </c>
      <c r="L47" s="103">
        <f>IF(OR(Raw_Data!L226="",Raw_Data!L226&lt;=0,Raw_Data!L225=""),"n.a.",Raw_Data!L225/Raw_Data!L226)</f>
        <v>6.2565172054223156E-2</v>
      </c>
      <c r="M47" s="103">
        <f>IF(OR(Raw_Data!M226="",Raw_Data!M226&lt;=0,Raw_Data!M225=""),"n.a.",Raw_Data!M225/Raw_Data!M226)</f>
        <v>6.3976377952755903E-2</v>
      </c>
      <c r="N47" s="103">
        <f>IF(OR(Raw_Data!N226="",Raw_Data!N226&lt;=0,Raw_Data!N225=""),"n.a.",Raw_Data!N225/Raw_Data!N226)</f>
        <v>6.5239551478083593E-2</v>
      </c>
      <c r="O47" s="103">
        <f>IF(OR(Raw_Data!O226="",Raw_Data!O226&lt;=0,Raw_Data!O225=""),"n.a.",Raw_Data!O225/Raw_Data!O226)</f>
        <v>-2.1346469622331693E-2</v>
      </c>
      <c r="P47" s="103">
        <f>IF(OR(Raw_Data!P226="",Raw_Data!P226&lt;=0,Raw_Data!P225=""),"n.a.",Raw_Data!P225/Raw_Data!P226)</f>
        <v>8.9020771513353119E-3</v>
      </c>
      <c r="Q47" s="103">
        <f>IF(OR(Raw_Data!Q226="",Raw_Data!Q226&lt;=0,Raw_Data!Q225=""),"n.a.",Raw_Data!Q225/Raw_Data!Q226)</f>
        <v>8.8435374149659872E-3</v>
      </c>
      <c r="R47" s="103">
        <f>IF(OR(Raw_Data!R226="",Raw_Data!R226&lt;=0,Raw_Data!R225=""),"n.a.",Raw_Data!R225/Raw_Data!R226)</f>
        <v>6.4579256360078274E-2</v>
      </c>
      <c r="S47" s="103">
        <f>IF(OR(Raw_Data!S226="",Raw_Data!S226&lt;=0,Raw_Data!S225=""),"n.a.",Raw_Data!S225/Raw_Data!S226)</f>
        <v>8.3542188805346695E-3</v>
      </c>
      <c r="T47" s="103">
        <f>IF(OR(Raw_Data!T226="",Raw_Data!T226&lt;=0,Raw_Data!T225=""),"n.a.",Raw_Data!T225/Raw_Data!T226)</f>
        <v>6.5959059893858987E-2</v>
      </c>
      <c r="U47" s="103">
        <f>IF(OR(Raw_Data!U226="",Raw_Data!U226&lt;=0,Raw_Data!U225=""),"n.a.",Raw_Data!U225/Raw_Data!U226)</f>
        <v>-4.8167539267015703E-2</v>
      </c>
      <c r="V47" s="103">
        <f>IF(OR(Raw_Data!V226="",Raw_Data!V226&lt;=0,Raw_Data!V225=""),"n.a.",Raw_Data!V225/Raw_Data!V226)</f>
        <v>0.10360110803324099</v>
      </c>
      <c r="W47" s="103">
        <f>IF(OR(Raw_Data!W226="",Raw_Data!W226&lt;=0,Raw_Data!W225=""),"n.a.",Raw_Data!W225/Raw_Data!W226)</f>
        <v>-0.38105263157894737</v>
      </c>
      <c r="X47" s="103">
        <f>IF(OR(Raw_Data!X226="",Raw_Data!X226&lt;=0,Raw_Data!X225=""),"n.a.",Raw_Data!X225/Raw_Data!X226)</f>
        <v>-0.10929853181076672</v>
      </c>
      <c r="Y47" s="103">
        <f>IF(OR(Raw_Data!Y226="",Raw_Data!Y226&lt;=0,Raw_Data!Y225=""),"n.a.",Raw_Data!Y225/Raw_Data!Y226)</f>
        <v>-9.7826086956521743E-2</v>
      </c>
      <c r="Z47" s="103">
        <f>IF(OR(Raw_Data!Z226="",Raw_Data!Z226&lt;=0,Raw_Data!Z225=""),"n.a.",Raw_Data!Z225/Raw_Data!Z226)</f>
        <v>7.5147125396106837E-2</v>
      </c>
      <c r="AA47" s="103">
        <f>IF(OR(Raw_Data!AA226="",Raw_Data!AA226&lt;=0,Raw_Data!AA225=""),"n.a.",Raw_Data!AA225/Raw_Data!AA226)</f>
        <v>0.11359404096834265</v>
      </c>
      <c r="AB47" s="103">
        <f>IF(OR(Raw_Data!AB226="",Raw_Data!AB226&lt;=0,Raw_Data!AB225=""),"n.a.",Raw_Data!AB225/Raw_Data!AB226)</f>
        <v>0.12155483748336818</v>
      </c>
      <c r="AC47" s="103">
        <f>IF(OR(Raw_Data!AC226="",Raw_Data!AC226&lt;=0,Raw_Data!AC225=""),"n.a.",Raw_Data!AC225/Raw_Data!AC226)</f>
        <v>0.12909400255210549</v>
      </c>
      <c r="AD47" s="103">
        <f>IF(OR(Raw_Data!AD226="",Raw_Data!AD226&lt;=0,Raw_Data!AD225=""),"n.a.",Raw_Data!AD225/Raw_Data!AD226)</f>
        <v>0.13878117946640431</v>
      </c>
      <c r="AE47" s="103">
        <f>IF(OR(Raw_Data!AE226="",Raw_Data!AE226&lt;=0,Raw_Data!AE225=""),"n.a.",Raw_Data!AE225/Raw_Data!AE226)</f>
        <v>0.1360986780472572</v>
      </c>
      <c r="AF47" s="103">
        <f>IF(OR(Raw_Data!AF226="",Raw_Data!AF226&lt;=0,Raw_Data!AF225=""),"n.a.",Raw_Data!AF225/Raw_Data!AF226)</f>
        <v>0.13474637031726117</v>
      </c>
      <c r="AG47" s="103">
        <f>IF(OR(Raw_Data!AG226="",Raw_Data!AG226&lt;=0,Raw_Data!AG225=""),"n.a.",Raw_Data!AG225/Raw_Data!AG226)</f>
        <v>0.1239639925447119</v>
      </c>
      <c r="AH47" s="103">
        <f>IF(OR(Raw_Data!AH226="",Raw_Data!AH226&lt;=0,Raw_Data!AH225=""),"n.a.",Raw_Data!AH225/Raw_Data!AH226)</f>
        <v>0.1430853491556367</v>
      </c>
      <c r="AI47" s="103">
        <f>IF(OR(Raw_Data!AI226="",Raw_Data!AI226&lt;=0,Raw_Data!AI225=""),"n.a.",Raw_Data!AI225/Raw_Data!AI226)</f>
        <v>0.15330385182336731</v>
      </c>
      <c r="AJ47" s="103">
        <f>IF(OR(Raw_Data!AJ226="",Raw_Data!AJ226&lt;=0,Raw_Data!AJ225=""),"n.a.",Raw_Data!AJ225/Raw_Data!AJ226)</f>
        <v>0.15884647827920709</v>
      </c>
      <c r="AK47" s="103">
        <f>IF(OR(Raw_Data!AK226="",Raw_Data!AK226&lt;=0,Raw_Data!AK225=""),"n.a.",Raw_Data!AK225/Raw_Data!AK226)</f>
        <v>0.1475852216357792</v>
      </c>
      <c r="AL47" s="103">
        <f>IF(OR(Raw_Data!AL226="",Raw_Data!AL226&lt;=0,Raw_Data!AL225=""),"n.a.",Raw_Data!AL225/Raw_Data!AL226)</f>
        <v>0.16568673733602277</v>
      </c>
      <c r="AM47" s="103">
        <f>IF(OR(Raw_Data!AM226="",Raw_Data!AM226&lt;=0,Raw_Data!AM225=""),"n.a.",Raw_Data!AM225/Raw_Data!AM226)</f>
        <v>0.16528451759967555</v>
      </c>
      <c r="AN47" s="103"/>
      <c r="AO47" s="103"/>
      <c r="AP47" s="102" t="s">
        <v>404</v>
      </c>
    </row>
    <row r="48" spans="1:42" ht="15" customHeight="1" x14ac:dyDescent="0.15">
      <c r="A48" s="97" t="s">
        <v>383</v>
      </c>
      <c r="B48" s="108">
        <f>IF(NOT(ISNUMBER(B47)),"n.a.",(B47-IF(Raw_Data!B223&lt;&gt;"",AVERAGE(Raw_Data!B223:B224),IF(Raw_Data!B204="",B46,Raw_Data!B204)))*10000)</f>
        <v>-1158.9552238805973</v>
      </c>
      <c r="C48" s="108">
        <f>IF(NOT(ISNUMBER(C47)),"n.a.",(C47-IF(Raw_Data!C223&lt;&gt;"",AVERAGE(Raw_Data!C223:C224),IF(Raw_Data!C204="",C46,Raw_Data!C204)))*10000)</f>
        <v>-223.39181286549714</v>
      </c>
      <c r="D48" s="108">
        <f>IF(NOT(ISNUMBER(D47)),"n.a.",(D47-IF(Raw_Data!D223&lt;&gt;"",AVERAGE(Raw_Data!D223:D224),IF(Raw_Data!D204="",D46,Raw_Data!D204)))*10000)</f>
        <v>-1052.6785714285716</v>
      </c>
      <c r="E48" s="108">
        <f>IF(NOT(ISNUMBER(E47)),"n.a.",(E47-IF(Raw_Data!E223&lt;&gt;"",AVERAGE(Raw_Data!E223:E224),IF(Raw_Data!E204="",E46,Raw_Data!E204)))*10000)</f>
        <v>-2120.7136237256718</v>
      </c>
      <c r="F48" s="108">
        <f>IF(NOT(ISNUMBER(F47)),"n.a.",(F47-IF(Raw_Data!F223&lt;&gt;"",AVERAGE(Raw_Data!F223:F224),IF(Raw_Data!F204="",F46,Raw_Data!F204)))*10000)</f>
        <v>-688.93974065598775</v>
      </c>
      <c r="G48" s="108">
        <f>IF(NOT(ISNUMBER(G47)),"n.a.",(G47-IF(Raw_Data!G223&lt;&gt;"",AVERAGE(Raw_Data!G223:G224),IF(Raw_Data!G204="",G46,Raw_Data!G204)))*10000)</f>
        <v>-430.50847457627123</v>
      </c>
      <c r="H48" s="108">
        <f>IF(NOT(ISNUMBER(H47)),"n.a.",(H47-IF(Raw_Data!H223&lt;&gt;"",AVERAGE(Raw_Data!H223:H224),IF(Raw_Data!H204="",H46,Raw_Data!H204)))*10000)</f>
        <v>-2278.3533765032375</v>
      </c>
      <c r="I48" s="108">
        <f>IF(NOT(ISNUMBER(I47)),"n.a.",(I47-IF(Raw_Data!I223&lt;&gt;"",AVERAGE(Raw_Data!I223:I224),IF(Raw_Data!I204="",I46,Raw_Data!I204)))*10000)</f>
        <v>-8069.1358024691363</v>
      </c>
      <c r="J48" s="108">
        <f>IF(NOT(ISNUMBER(J47)),"n.a.",(J47-IF(Raw_Data!J223&lt;&gt;"",AVERAGE(Raw_Data!J223:J224),IF(Raw_Data!J204="",J46,Raw_Data!J204)))*10000)</f>
        <v>-1128.53470437018</v>
      </c>
      <c r="K48" s="108">
        <f>IF(NOT(ISNUMBER(K47)),"n.a.",(K47-IF(Raw_Data!K223&lt;&gt;"",AVERAGE(Raw_Data!K223:K224),IF(Raw_Data!K204="",K46,Raw_Data!K204)))*10000)</f>
        <v>-108.91089108910901</v>
      </c>
      <c r="L48" s="108">
        <f>IF(NOT(ISNUMBER(L47)),"n.a.",(L47-IF(Raw_Data!L223&lt;&gt;"",AVERAGE(Raw_Data!L223:L224),IF(Raw_Data!L204="",L46,Raw_Data!L204)))*10000)</f>
        <v>-374.34827945776851</v>
      </c>
      <c r="M48" s="108">
        <f>IF(NOT(ISNUMBER(M47)),"n.a.",(M47-IF(Raw_Data!M223&lt;&gt;"",AVERAGE(Raw_Data!M223:M224),IF(Raw_Data!M204="",M46,Raw_Data!M204)))*10000)</f>
        <v>-260.23622047244095</v>
      </c>
      <c r="N48" s="108">
        <f>IF(NOT(ISNUMBER(N47)),"n.a.",(N47-IF(Raw_Data!N223&lt;&gt;"",AVERAGE(Raw_Data!N223:N224),IF(Raw_Data!N204="",N46,Raw_Data!N204)))*10000)</f>
        <v>-247.60448521916405</v>
      </c>
      <c r="O48" s="108">
        <f>IF(NOT(ISNUMBER(O47)),"n.a.",(O47-IF(Raw_Data!O223&lt;&gt;"",AVERAGE(Raw_Data!O223:O224),IF(Raw_Data!O204="",O46,Raw_Data!O204)))*10000)</f>
        <v>-1113.4646962233169</v>
      </c>
      <c r="P48" s="108">
        <f>IF(NOT(ISNUMBER(P47)),"n.a.",(P47-IF(Raw_Data!P223&lt;&gt;"",AVERAGE(Raw_Data!P223:P224),IF(Raw_Data!P204="",P46,Raw_Data!P204)))*10000)</f>
        <v>-710.97922848664689</v>
      </c>
      <c r="Q48" s="108">
        <f>IF(NOT(ISNUMBER(Q47)),"n.a.",(Q47-IF(Raw_Data!Q223&lt;&gt;"",AVERAGE(Raw_Data!Q223:Q224),IF(Raw_Data!Q204="",Q46,Raw_Data!Q204)))*10000)</f>
        <v>-711.56462585034012</v>
      </c>
      <c r="R48" s="108">
        <f>IF(NOT(ISNUMBER(R47)),"n.a.",(R47-IF(Raw_Data!R223&lt;&gt;"",AVERAGE(Raw_Data!R223:R224),IF(Raw_Data!R204="",R46,Raw_Data!R204)))*10000)</f>
        <v>-354.20743639921733</v>
      </c>
      <c r="S48" s="108">
        <f>IF(NOT(ISNUMBER(S47)),"n.a.",(S47-IF(Raw_Data!S223&lt;&gt;"",AVERAGE(Raw_Data!S223:S224),IF(Raw_Data!S204="",S46,Raw_Data!S204)))*10000)</f>
        <v>-916.45781119465335</v>
      </c>
      <c r="T48" s="108">
        <f>IF(NOT(ISNUMBER(T47)),"n.a.",(T47-IF(Raw_Data!T223&lt;&gt;"",AVERAGE(Raw_Data!T223:T224),IF(Raw_Data!T204="",T46,Raw_Data!T204)))*10000)</f>
        <v>-440.40940106141011</v>
      </c>
      <c r="U48" s="108">
        <f>IF(NOT(ISNUMBER(U47)),"n.a.",(U47-IF(Raw_Data!U223&lt;&gt;"",AVERAGE(Raw_Data!U223:U224),IF(Raw_Data!U204="",U46,Raw_Data!U204)))*10000)</f>
        <v>-1581.6753926701572</v>
      </c>
      <c r="V48" s="108">
        <f>IF(NOT(ISNUMBER(V47)),"n.a.",(V47-IF(Raw_Data!V223&lt;&gt;"",AVERAGE(Raw_Data!V223:V224),IF(Raw_Data!V204="",V46,Raw_Data!V204)))*10000)</f>
        <v>-63.988919667590096</v>
      </c>
      <c r="W48" s="108">
        <f>IF(NOT(ISNUMBER(W47)),"n.a.",(W47-IF(Raw_Data!W223&lt;&gt;"",AVERAGE(Raw_Data!W223:W224),IF(Raw_Data!W204="",W46,Raw_Data!W204)))*10000)</f>
        <v>-5060.5263157894733</v>
      </c>
      <c r="X48" s="108">
        <f>IF(NOT(ISNUMBER(X47)),"n.a.",(X47-IF(Raw_Data!X223&lt;&gt;"",AVERAGE(Raw_Data!X223:X224),IF(Raw_Data!X204="",X46,Raw_Data!X204)))*10000)</f>
        <v>-2042.9853181076674</v>
      </c>
      <c r="Y48" s="108">
        <f>IF(NOT(ISNUMBER(Y47)),"n.a.",(Y47-IF(Raw_Data!Y223&lt;&gt;"",AVERAGE(Raw_Data!Y223:Y224),IF(Raw_Data!Y204="",Y46,Raw_Data!Y204)))*10000)</f>
        <v>-1878.2608695652175</v>
      </c>
      <c r="Z48" s="108">
        <f>IF(NOT(ISNUMBER(Z47)),"n.a.",(Z47-IF(Raw_Data!Z223&lt;&gt;"",AVERAGE(Raw_Data!Z223:Z224),IF(Raw_Data!Z204="",Z46,Raw_Data!Z204)))*10000)</f>
        <v>-548.52874603893167</v>
      </c>
      <c r="AA48" s="108">
        <f>IF(NOT(ISNUMBER(AA47)),"n.a.",(AA47-IF(Raw_Data!AA223&lt;&gt;"",AVERAGE(Raw_Data!AA223:AA224),IF(Raw_Data!AA204="",AA46,Raw_Data!AA204)))*10000)</f>
        <v>-264.05959031657363</v>
      </c>
      <c r="AB48" s="108">
        <f>IF(NOT(ISNUMBER(AB47)),"n.a.",(AB47-IF(Raw_Data!AB223&lt;&gt;"",AVERAGE(Raw_Data!AB223:AB224),IF(Raw_Data!AB204="",AB46,Raw_Data!AB204)))*10000)</f>
        <v>-234.45162516631811</v>
      </c>
      <c r="AC48" s="108">
        <f>IF(NOT(ISNUMBER(AC47)),"n.a.",(AC47-IF(Raw_Data!AC223&lt;&gt;"",AVERAGE(Raw_Data!AC223:AC224),IF(Raw_Data!AC204="",AC46,Raw_Data!AC204)))*10000)</f>
        <v>-209.05997447894509</v>
      </c>
      <c r="AD48" s="108">
        <f>IF(NOT(ISNUMBER(AD47)),"n.a.",(AD47-IF(Raw_Data!AD223&lt;&gt;"",AVERAGE(Raw_Data!AD223:AD224),IF(Raw_Data!AD204="",AD46,Raw_Data!AD204)))*10000)</f>
        <v>-312.18820533595704</v>
      </c>
      <c r="AE48" s="108">
        <f>IF(NOT(ISNUMBER(AE47)),"n.a.",(AE47-IF(Raw_Data!AE223&lt;&gt;"",AVERAGE(Raw_Data!AE223:AE224),IF(Raw_Data!AE204="",AE46,Raw_Data!AE204)))*10000)</f>
        <v>-339.01321952742813</v>
      </c>
      <c r="AF48" s="108">
        <f>IF(NOT(ISNUMBER(AF47)),"n.a.",(AF47-IF(Raw_Data!AF223&lt;&gt;"",AVERAGE(Raw_Data!AF223:AF224),IF(Raw_Data!AF204="",AF46,Raw_Data!AF204)))*10000)</f>
        <v>-352.53629682738847</v>
      </c>
      <c r="AG48" s="108">
        <f>IF(NOT(ISNUMBER(AG47)),"n.a.",(AG47-IF(Raw_Data!AG223&lt;&gt;"",AVERAGE(Raw_Data!AG223:AG224),IF(Raw_Data!AG204="",AG46,Raw_Data!AG204)))*10000)</f>
        <v>-410.36007455288114</v>
      </c>
      <c r="AH48" s="108">
        <f>IF(NOT(ISNUMBER(AH47)),"n.a.",(AH47-IF(Raw_Data!AH223&lt;&gt;"",AVERAGE(Raw_Data!AH223:AH224),IF(Raw_Data!AH204="",AH46,Raw_Data!AH204)))*10000)</f>
        <v>-269.14650844363314</v>
      </c>
      <c r="AI48" s="108">
        <f>IF(NOT(ISNUMBER(AI47)),"n.a.",(AI47-IF(Raw_Data!AI223&lt;&gt;"",AVERAGE(Raw_Data!AI223:AI224),IF(Raw_Data!AI204="",AI46,Raw_Data!AI204)))*10000)</f>
        <v>-116.96148176632698</v>
      </c>
      <c r="AJ48" s="108">
        <f>IF(NOT(ISNUMBER(AJ47)),"n.a.",(AJ47-IF(Raw_Data!AJ223&lt;&gt;"",AVERAGE(Raw_Data!AJ223:AJ224),IF(Raw_Data!AJ204="",AJ46,Raw_Data!AJ204)))*10000)</f>
        <v>-61.535217207929207</v>
      </c>
      <c r="AK48" s="108">
        <f>IF(NOT(ISNUMBER(AK47)),"n.a.",(AK47-IF(Raw_Data!AK223&lt;&gt;"",AVERAGE(Raw_Data!AK223:AK224),IF(Raw_Data!AK204="",AK46,Raw_Data!AK204)))*10000)</f>
        <v>-224.14778364220817</v>
      </c>
      <c r="AL48" s="108">
        <f>IF(NOT(ISNUMBER(AL47)),"n.a.",(AL47-IF(Raw_Data!AL223&lt;&gt;"",AVERAGE(Raw_Data!AL223:AL224),IF(Raw_Data!AL204="",AL46,Raw_Data!AL204)))*10000)</f>
        <v>-143.13262663977227</v>
      </c>
      <c r="AM48" s="108">
        <f>IF(NOT(ISNUMBER(AM47)),"n.a.",(AM47-IF(Raw_Data!AM223&lt;&gt;"",AVERAGE(Raw_Data!AM223:AM224),IF(Raw_Data!AM204="",AM46,Raw_Data!AM204)))*10000)</f>
        <v>-47.154824003244336</v>
      </c>
      <c r="AN48" s="108" t="str">
        <f>IF(NOT(ISNUMBER(AN47)),"n.a.",(AN47-IF(Raw_Data!AN223&lt;&gt;"",AVERAGE(Raw_Data!AN223:AN224),IF(Raw_Data!AN204="",AN46,Raw_Data!AN204)))*10000)</f>
        <v>n.a.</v>
      </c>
      <c r="AO48" s="108"/>
      <c r="AP48" s="102" t="s">
        <v>369</v>
      </c>
    </row>
    <row r="49" spans="1:42" ht="15" customHeight="1" x14ac:dyDescent="0.15">
      <c r="A49" s="97" t="s">
        <v>370</v>
      </c>
      <c r="B49" s="100" t="str">
        <f>IF(NOT(ISNUMBER(B47)),"",IF(OR(B47&lt;0,B47&gt;0.45),"N/M",IF(Raw_Data!B223&lt;&gt;"",IF(B47&lt;Raw_Data!B223,"Beat",IF(B47&gt;Raw_Data!B224,"Miss","In-line")),IF(B47&lt;IF(Raw_Data!B204="",B46,Raw_Data!B204)-Raw_Data!B222,"Beat",IF(B47&gt;IF(Raw_Data!B204="",B46,Raw_Data!B204)+Raw_Data!B222,"Miss","In-line")))))</f>
        <v>Beat</v>
      </c>
      <c r="C49" s="100" t="str">
        <f>IF(NOT(ISNUMBER(C47)),"",IF(OR(C47&lt;0,C47&gt;0.45),"N/M",IF(Raw_Data!C223&lt;&gt;"",IF(C47&lt;Raw_Data!C223,"Beat",IF(C47&gt;Raw_Data!C224,"Miss","In-line")),IF(C47&lt;IF(Raw_Data!C204="",C46,Raw_Data!C204)-Raw_Data!C222,"Beat",IF(C47&gt;IF(Raw_Data!C204="",C46,Raw_Data!C204)+Raw_Data!C222,"Miss","In-line")))))</f>
        <v>Beat</v>
      </c>
      <c r="D49" s="100" t="str">
        <f>IF(NOT(ISNUMBER(D47)),"",IF(OR(D47&lt;0,D47&gt;0.45),"N/M",IF(Raw_Data!D223&lt;&gt;"",IF(D47&lt;Raw_Data!D223,"Beat",IF(D47&gt;Raw_Data!D224,"Miss","In-line")),IF(D47&lt;IF(Raw_Data!D204="",D46,Raw_Data!D204)-Raw_Data!D222,"Beat",IF(D47&gt;IF(Raw_Data!D204="",D46,Raw_Data!D204)+Raw_Data!D222,"Miss","In-line")))))</f>
        <v>Beat</v>
      </c>
      <c r="E49" s="100" t="str">
        <f>IF(NOT(ISNUMBER(E47)),"",IF(OR(E47&lt;0,E47&gt;0.45),"N/M",IF(Raw_Data!E223&lt;&gt;"",IF(E47&lt;Raw_Data!E223,"Beat",IF(E47&gt;Raw_Data!E224,"Miss","In-line")),IF(E47&lt;IF(Raw_Data!E204="",E46,Raw_Data!E204)-Raw_Data!E222,"Beat",IF(E47&gt;IF(Raw_Data!E204="",E46,Raw_Data!E204)+Raw_Data!E222,"Miss","In-line")))))</f>
        <v>N/M</v>
      </c>
      <c r="F49" s="100" t="str">
        <f>IF(NOT(ISNUMBER(F47)),"",IF(OR(F47&lt;0,F47&gt;0.45),"N/M",IF(Raw_Data!F223&lt;&gt;"",IF(F47&lt;Raw_Data!F223,"Beat",IF(F47&gt;Raw_Data!F224,"Miss","In-line")),IF(F47&lt;IF(Raw_Data!F204="",F46,Raw_Data!F204)-Raw_Data!F222,"Beat",IF(F47&gt;IF(Raw_Data!F204="",F46,Raw_Data!F204)+Raw_Data!F222,"Miss","In-line")))))</f>
        <v>Beat</v>
      </c>
      <c r="G49" s="100" t="str">
        <f>IF(NOT(ISNUMBER(G47)),"",IF(OR(G47&lt;0,G47&gt;0.45),"N/M",IF(Raw_Data!G223&lt;&gt;"",IF(G47&lt;Raw_Data!G223,"Beat",IF(G47&gt;Raw_Data!G224,"Miss","In-line")),IF(G47&lt;IF(Raw_Data!G204="",G46,Raw_Data!G204)-Raw_Data!G222,"Beat",IF(G47&gt;IF(Raw_Data!G204="",G46,Raw_Data!G204)+Raw_Data!G222,"Miss","In-line")))))</f>
        <v>Beat</v>
      </c>
      <c r="H49" s="100" t="str">
        <f>IF(NOT(ISNUMBER(H47)),"",IF(OR(H47&lt;0,H47&gt;0.45),"N/M",IF(Raw_Data!H223&lt;&gt;"",IF(H47&lt;Raw_Data!H223,"Beat",IF(H47&gt;Raw_Data!H224,"Miss","In-line")),IF(H47&lt;IF(Raw_Data!H204="",H46,Raw_Data!H204)-Raw_Data!H222,"Beat",IF(H47&gt;IF(Raw_Data!H204="",H46,Raw_Data!H204)+Raw_Data!H222,"Miss","In-line")))))</f>
        <v>N/M</v>
      </c>
      <c r="I49" s="100" t="str">
        <f>IF(NOT(ISNUMBER(I47)),"",IF(OR(I47&lt;0,I47&gt;0.45),"N/M",IF(Raw_Data!I223&lt;&gt;"",IF(I47&lt;Raw_Data!I223,"Beat",IF(I47&gt;Raw_Data!I224,"Miss","In-line")),IF(I47&lt;IF(Raw_Data!I204="",I46,Raw_Data!I204)-Raw_Data!I222,"Beat",IF(I47&gt;IF(Raw_Data!I204="",I46,Raw_Data!I204)+Raw_Data!I222,"Miss","In-line")))))</f>
        <v>N/M</v>
      </c>
      <c r="J49" s="100" t="str">
        <f>IF(NOT(ISNUMBER(J47)),"",IF(OR(J47&lt;0,J47&gt;0.45),"N/M",IF(Raw_Data!J223&lt;&gt;"",IF(J47&lt;Raw_Data!J223,"Beat",IF(J47&gt;Raw_Data!J224,"Miss","In-line")),IF(J47&lt;IF(Raw_Data!J204="",J46,Raw_Data!J204)-Raw_Data!J222,"Beat",IF(J47&gt;IF(Raw_Data!J204="",J46,Raw_Data!J204)+Raw_Data!J222,"Miss","In-line")))))</f>
        <v>N/M</v>
      </c>
      <c r="K49" s="100" t="str">
        <f>IF(NOT(ISNUMBER(K47)),"",IF(OR(K47&lt;0,K47&gt;0.45),"N/M",IF(Raw_Data!K223&lt;&gt;"",IF(K47&lt;Raw_Data!K223,"Beat",IF(K47&gt;Raw_Data!K224,"Miss","In-line")),IF(K47&lt;IF(Raw_Data!K204="",K46,Raw_Data!K204)-Raw_Data!K222,"Beat",IF(K47&gt;IF(Raw_Data!K204="",K46,Raw_Data!K204)+Raw_Data!K222,"Miss","In-line")))))</f>
        <v>Beat</v>
      </c>
      <c r="L49" s="100" t="str">
        <f>IF(NOT(ISNUMBER(L47)),"",IF(OR(L47&lt;0,L47&gt;0.45),"N/M",IF(Raw_Data!L223&lt;&gt;"",IF(L47&lt;Raw_Data!L223,"Beat",IF(L47&gt;Raw_Data!L224,"Miss","In-line")),IF(L47&lt;IF(Raw_Data!L204="",L46,Raw_Data!L204)-Raw_Data!L222,"Beat",IF(L47&gt;IF(Raw_Data!L204="",L46,Raw_Data!L204)+Raw_Data!L222,"Miss","In-line")))))</f>
        <v>Beat</v>
      </c>
      <c r="M49" s="100" t="str">
        <f>IF(NOT(ISNUMBER(M47)),"",IF(OR(M47&lt;0,M47&gt;0.45),"N/M",IF(Raw_Data!M223&lt;&gt;"",IF(M47&lt;Raw_Data!M223,"Beat",IF(M47&gt;Raw_Data!M224,"Miss","In-line")),IF(M47&lt;IF(Raw_Data!M204="",M46,Raw_Data!M204)-Raw_Data!M222,"Beat",IF(M47&gt;IF(Raw_Data!M204="",M46,Raw_Data!M204)+Raw_Data!M222,"Miss","In-line")))))</f>
        <v>Beat</v>
      </c>
      <c r="N49" s="100" t="str">
        <f>IF(NOT(ISNUMBER(N47)),"",IF(OR(N47&lt;0,N47&gt;0.45),"N/M",IF(Raw_Data!N223&lt;&gt;"",IF(N47&lt;Raw_Data!N223,"Beat",IF(N47&gt;Raw_Data!N224,"Miss","In-line")),IF(N47&lt;IF(Raw_Data!N204="",N46,Raw_Data!N204)-Raw_Data!N222,"Beat",IF(N47&gt;IF(Raw_Data!N204="",N46,Raw_Data!N204)+Raw_Data!N222,"Miss","In-line")))))</f>
        <v>Beat</v>
      </c>
      <c r="O49" s="100" t="str">
        <f>IF(NOT(ISNUMBER(O47)),"",IF(OR(O47&lt;0,O47&gt;0.45),"N/M",IF(Raw_Data!O223&lt;&gt;"",IF(O47&lt;Raw_Data!O223,"Beat",IF(O47&gt;Raw_Data!O224,"Miss","In-line")),IF(O47&lt;IF(Raw_Data!O204="",O46,Raw_Data!O204)-Raw_Data!O222,"Beat",IF(O47&gt;IF(Raw_Data!O204="",O46,Raw_Data!O204)+Raw_Data!O222,"Miss","In-line")))))</f>
        <v>N/M</v>
      </c>
      <c r="P49" s="100" t="str">
        <f>IF(NOT(ISNUMBER(P47)),"",IF(OR(P47&lt;0,P47&gt;0.45),"N/M",IF(Raw_Data!P223&lt;&gt;"",IF(P47&lt;Raw_Data!P223,"Beat",IF(P47&gt;Raw_Data!P224,"Miss","In-line")),IF(P47&lt;IF(Raw_Data!P204="",P46,Raw_Data!P204)-Raw_Data!P222,"Beat",IF(P47&gt;IF(Raw_Data!P204="",P46,Raw_Data!P204)+Raw_Data!P222,"Miss","In-line")))))</f>
        <v>Beat</v>
      </c>
      <c r="Q49" s="100" t="str">
        <f>IF(NOT(ISNUMBER(Q47)),"",IF(OR(Q47&lt;0,Q47&gt;0.45),"N/M",IF(Raw_Data!Q223&lt;&gt;"",IF(Q47&lt;Raw_Data!Q223,"Beat",IF(Q47&gt;Raw_Data!Q224,"Miss","In-line")),IF(Q47&lt;IF(Raw_Data!Q204="",Q46,Raw_Data!Q204)-Raw_Data!Q222,"Beat",IF(Q47&gt;IF(Raw_Data!Q204="",Q46,Raw_Data!Q204)+Raw_Data!Q222,"Miss","In-line")))))</f>
        <v>Beat</v>
      </c>
      <c r="R49" s="100" t="str">
        <f>IF(NOT(ISNUMBER(R47)),"",IF(OR(R47&lt;0,R47&gt;0.45),"N/M",IF(Raw_Data!R223&lt;&gt;"",IF(R47&lt;Raw_Data!R223,"Beat",IF(R47&gt;Raw_Data!R224,"Miss","In-line")),IF(R47&lt;IF(Raw_Data!R204="",R46,Raw_Data!R204)-Raw_Data!R222,"Beat",IF(R47&gt;IF(Raw_Data!R204="",R46,Raw_Data!R204)+Raw_Data!R222,"Miss","In-line")))))</f>
        <v>Beat</v>
      </c>
      <c r="S49" s="100" t="str">
        <f>IF(NOT(ISNUMBER(S47)),"",IF(OR(S47&lt;0,S47&gt;0.45),"N/M",IF(Raw_Data!S223&lt;&gt;"",IF(S47&lt;Raw_Data!S223,"Beat",IF(S47&gt;Raw_Data!S224,"Miss","In-line")),IF(S47&lt;IF(Raw_Data!S204="",S46,Raw_Data!S204)-Raw_Data!S222,"Beat",IF(S47&gt;IF(Raw_Data!S204="",S46,Raw_Data!S204)+Raw_Data!S222,"Miss","In-line")))))</f>
        <v>Beat</v>
      </c>
      <c r="T49" s="100" t="str">
        <f>IF(NOT(ISNUMBER(T47)),"",IF(OR(T47&lt;0,T47&gt;0.45),"N/M",IF(Raw_Data!T223&lt;&gt;"",IF(T47&lt;Raw_Data!T223,"Beat",IF(T47&gt;Raw_Data!T224,"Miss","In-line")),IF(T47&lt;IF(Raw_Data!T204="",T46,Raw_Data!T204)-Raw_Data!T222,"Beat",IF(T47&gt;IF(Raw_Data!T204="",T46,Raw_Data!T204)+Raw_Data!T222,"Miss","In-line")))))</f>
        <v>Beat</v>
      </c>
      <c r="U49" s="100" t="str">
        <f>IF(NOT(ISNUMBER(U47)),"",IF(OR(U47&lt;0,U47&gt;0.45),"N/M",IF(Raw_Data!U223&lt;&gt;"",IF(U47&lt;Raw_Data!U223,"Beat",IF(U47&gt;Raw_Data!U224,"Miss","In-line")),IF(U47&lt;IF(Raw_Data!U204="",U46,Raw_Data!U204)-Raw_Data!U222,"Beat",IF(U47&gt;IF(Raw_Data!U204="",U46,Raw_Data!U204)+Raw_Data!U222,"Miss","In-line")))))</f>
        <v>N/M</v>
      </c>
      <c r="V49" s="100" t="str">
        <f>IF(NOT(ISNUMBER(V47)),"",IF(OR(V47&lt;0,V47&gt;0.45),"N/M",IF(Raw_Data!V223&lt;&gt;"",IF(V47&lt;Raw_Data!V223,"Beat",IF(V47&gt;Raw_Data!V224,"Miss","In-line")),IF(V47&lt;IF(Raw_Data!V204="",V46,Raw_Data!V204)-Raw_Data!V222,"Beat",IF(V47&gt;IF(Raw_Data!V204="",V46,Raw_Data!V204)+Raw_Data!V222,"Miss","In-line")))))</f>
        <v>In-line</v>
      </c>
      <c r="W49" s="100" t="str">
        <f>IF(NOT(ISNUMBER(W47)),"",IF(OR(W47&lt;0,W47&gt;0.45),"N/M",IF(Raw_Data!W223&lt;&gt;"",IF(W47&lt;Raw_Data!W223,"Beat",IF(W47&gt;Raw_Data!W224,"Miss","In-line")),IF(W47&lt;IF(Raw_Data!W204="",W46,Raw_Data!W204)-Raw_Data!W222,"Beat",IF(W47&gt;IF(Raw_Data!W204="",W46,Raw_Data!W204)+Raw_Data!W222,"Miss","In-line")))))</f>
        <v>N/M</v>
      </c>
      <c r="X49" s="100" t="str">
        <f>IF(NOT(ISNUMBER(X47)),"",IF(OR(X47&lt;0,X47&gt;0.45),"N/M",IF(Raw_Data!X223&lt;&gt;"",IF(X47&lt;Raw_Data!X223,"Beat",IF(X47&gt;Raw_Data!X224,"Miss","In-line")),IF(X47&lt;IF(Raw_Data!X204="",X46,Raw_Data!X204)-Raw_Data!X222,"Beat",IF(X47&gt;IF(Raw_Data!X204="",X46,Raw_Data!X204)+Raw_Data!X222,"Miss","In-line")))))</f>
        <v>N/M</v>
      </c>
      <c r="Y49" s="100" t="str">
        <f>IF(NOT(ISNUMBER(Y47)),"",IF(OR(Y47&lt;0,Y47&gt;0.45),"N/M",IF(Raw_Data!Y223&lt;&gt;"",IF(Y47&lt;Raw_Data!Y223,"Beat",IF(Y47&gt;Raw_Data!Y224,"Miss","In-line")),IF(Y47&lt;IF(Raw_Data!Y204="",Y46,Raw_Data!Y204)-Raw_Data!Y222,"Beat",IF(Y47&gt;IF(Raw_Data!Y204="",Y46,Raw_Data!Y204)+Raw_Data!Y222,"Miss","In-line")))))</f>
        <v>N/M</v>
      </c>
      <c r="Z49" s="100" t="str">
        <f>IF(NOT(ISNUMBER(Z47)),"",IF(OR(Z47&lt;0,Z47&gt;0.45),"N/M",IF(Raw_Data!Z223&lt;&gt;"",IF(Z47&lt;Raw_Data!Z223,"Beat",IF(Z47&gt;Raw_Data!Z224,"Miss","In-line")),IF(Z47&lt;IF(Raw_Data!Z204="",Z46,Raw_Data!Z204)-Raw_Data!Z222,"Beat",IF(Z47&gt;IF(Raw_Data!Z204="",Z46,Raw_Data!Z204)+Raw_Data!Z222,"Miss","In-line")))))</f>
        <v>Beat</v>
      </c>
      <c r="AA49" s="100" t="str">
        <f>IF(NOT(ISNUMBER(AA47)),"",IF(OR(AA47&lt;0,AA47&gt;0.45),"N/M",IF(Raw_Data!AA223&lt;&gt;"",IF(AA47&lt;Raw_Data!AA223,"Beat",IF(AA47&gt;Raw_Data!AA224,"Miss","In-line")),IF(AA47&lt;IF(Raw_Data!AA204="",AA46,Raw_Data!AA204)-Raw_Data!AA222,"Beat",IF(AA47&gt;IF(Raw_Data!AA204="",AA46,Raw_Data!AA204)+Raw_Data!AA222,"Miss","In-line")))))</f>
        <v>Beat</v>
      </c>
      <c r="AB49" s="100" t="str">
        <f>IF(NOT(ISNUMBER(AB47)),"",IF(OR(AB47&lt;0,AB47&gt;0.45),"N/M",IF(Raw_Data!AB223&lt;&gt;"",IF(AB47&lt;Raw_Data!AB223,"Beat",IF(AB47&gt;Raw_Data!AB224,"Miss","In-line")),IF(AB47&lt;IF(Raw_Data!AB204="",AB46,Raw_Data!AB204)-Raw_Data!AB222,"Beat",IF(AB47&gt;IF(Raw_Data!AB204="",AB46,Raw_Data!AB204)+Raw_Data!AB222,"Miss","In-line")))))</f>
        <v>Beat</v>
      </c>
      <c r="AC49" s="100" t="str">
        <f>IF(NOT(ISNUMBER(AC47)),"",IF(OR(AC47&lt;0,AC47&gt;0.45),"N/M",IF(Raw_Data!AC223&lt;&gt;"",IF(AC47&lt;Raw_Data!AC223,"Beat",IF(AC47&gt;Raw_Data!AC224,"Miss","In-line")),IF(AC47&lt;IF(Raw_Data!AC204="",AC46,Raw_Data!AC204)-Raw_Data!AC222,"Beat",IF(AC47&gt;IF(Raw_Data!AC204="",AC46,Raw_Data!AC204)+Raw_Data!AC222,"Miss","In-line")))))</f>
        <v>Beat</v>
      </c>
      <c r="AD49" s="100" t="str">
        <f>IF(NOT(ISNUMBER(AD47)),"",IF(OR(AD47&lt;0,AD47&gt;0.45),"N/M",IF(Raw_Data!AD223&lt;&gt;"",IF(AD47&lt;Raw_Data!AD223,"Beat",IF(AD47&gt;Raw_Data!AD224,"Miss","In-line")),IF(AD47&lt;IF(Raw_Data!AD204="",AD46,Raw_Data!AD204)-Raw_Data!AD222,"Beat",IF(AD47&gt;IF(Raw_Data!AD204="",AD46,Raw_Data!AD204)+Raw_Data!AD222,"Miss","In-line")))))</f>
        <v>Beat</v>
      </c>
      <c r="AE49" s="100" t="str">
        <f>IF(NOT(ISNUMBER(AE47)),"",IF(OR(AE47&lt;0,AE47&gt;0.45),"N/M",IF(Raw_Data!AE223&lt;&gt;"",IF(AE47&lt;Raw_Data!AE223,"Beat",IF(AE47&gt;Raw_Data!AE224,"Miss","In-line")),IF(AE47&lt;IF(Raw_Data!AE204="",AE46,Raw_Data!AE204)-Raw_Data!AE222,"Beat",IF(AE47&gt;IF(Raw_Data!AE204="",AE46,Raw_Data!AE204)+Raw_Data!AE222,"Miss","In-line")))))</f>
        <v>Beat</v>
      </c>
      <c r="AF49" s="100" t="str">
        <f>IF(NOT(ISNUMBER(AF47)),"",IF(OR(AF47&lt;0,AF47&gt;0.45),"N/M",IF(Raw_Data!AF223&lt;&gt;"",IF(AF47&lt;Raw_Data!AF223,"Beat",IF(AF47&gt;Raw_Data!AF224,"Miss","In-line")),IF(AF47&lt;IF(Raw_Data!AF204="",AF46,Raw_Data!AF204)-Raw_Data!AF222,"Beat",IF(AF47&gt;IF(Raw_Data!AF204="",AF46,Raw_Data!AF204)+Raw_Data!AF222,"Miss","In-line")))))</f>
        <v>Beat</v>
      </c>
      <c r="AG49" s="100" t="str">
        <f>IF(NOT(ISNUMBER(AG47)),"",IF(OR(AG47&lt;0,AG47&gt;0.45),"N/M",IF(Raw_Data!AG223&lt;&gt;"",IF(AG47&lt;Raw_Data!AG223,"Beat",IF(AG47&gt;Raw_Data!AG224,"Miss","In-line")),IF(AG47&lt;IF(Raw_Data!AG204="",AG46,Raw_Data!AG204)-Raw_Data!AG222,"Beat",IF(AG47&gt;IF(Raw_Data!AG204="",AG46,Raw_Data!AG204)+Raw_Data!AG222,"Miss","In-line")))))</f>
        <v>Beat</v>
      </c>
      <c r="AH49" s="100" t="str">
        <f>IF(NOT(ISNUMBER(AH47)),"",IF(OR(AH47&lt;0,AH47&gt;0.45),"N/M",IF(Raw_Data!AH223&lt;&gt;"",IF(AH47&lt;Raw_Data!AH223,"Beat",IF(AH47&gt;Raw_Data!AH224,"Miss","In-line")),IF(AH47&lt;IF(Raw_Data!AH204="",AH46,Raw_Data!AH204)-Raw_Data!AH222,"Beat",IF(AH47&gt;IF(Raw_Data!AH204="",AH46,Raw_Data!AH204)+Raw_Data!AH222,"Miss","In-line")))))</f>
        <v>Beat</v>
      </c>
      <c r="AI49" s="100" t="str">
        <f>IF(NOT(ISNUMBER(AI47)),"",IF(OR(AI47&lt;0,AI47&gt;0.45),"N/M",IF(Raw_Data!AI223&lt;&gt;"",IF(AI47&lt;Raw_Data!AI223,"Beat",IF(AI47&gt;Raw_Data!AI224,"Miss","In-line")),IF(AI47&lt;IF(Raw_Data!AI204="",AI46,Raw_Data!AI204)-Raw_Data!AI222,"Beat",IF(AI47&gt;IF(Raw_Data!AI204="",AI46,Raw_Data!AI204)+Raw_Data!AI222,"Miss","In-line")))))</f>
        <v>Beat</v>
      </c>
      <c r="AJ49" s="100" t="str">
        <f>IF(NOT(ISNUMBER(AJ47)),"",IF(OR(AJ47&lt;0,AJ47&gt;0.45),"N/M",IF(Raw_Data!AJ223&lt;&gt;"",IF(AJ47&lt;Raw_Data!AJ223,"Beat",IF(AJ47&gt;Raw_Data!AJ224,"Miss","In-line")),IF(AJ47&lt;IF(Raw_Data!AJ204="",AJ46,Raw_Data!AJ204)-Raw_Data!AJ222,"Beat",IF(AJ47&gt;IF(Raw_Data!AJ204="",AJ46,Raw_Data!AJ204)+Raw_Data!AJ222,"Miss","In-line")))))</f>
        <v>In-line</v>
      </c>
      <c r="AK49" s="100" t="str">
        <f>IF(NOT(ISNUMBER(AK47)),"",IF(OR(AK47&lt;0,AK47&gt;0.45),"N/M",IF(Raw_Data!AK223&lt;&gt;"",IF(AK47&lt;Raw_Data!AK223,"Beat",IF(AK47&gt;Raw_Data!AK224,"Miss","In-line")),IF(AK47&lt;IF(Raw_Data!AK204="",AK46,Raw_Data!AK204)-Raw_Data!AK222,"Beat",IF(AK47&gt;IF(Raw_Data!AK204="",AK46,Raw_Data!AK204)+Raw_Data!AK222,"Miss","In-line")))))</f>
        <v>Beat</v>
      </c>
      <c r="AL49" s="100" t="str">
        <f>IF(NOT(ISNUMBER(AL47)),"",IF(OR(AL47&lt;0,AL47&gt;0.45),"N/M",IF(Raw_Data!AL223&lt;&gt;"",IF(AL47&lt;Raw_Data!AL223,"Beat",IF(AL47&gt;Raw_Data!AL224,"Miss","In-line")),IF(AL47&lt;IF(Raw_Data!AL204="",AL46,Raw_Data!AL204)-Raw_Data!AL222,"Beat",IF(AL47&gt;IF(Raw_Data!AL204="",AL46,Raw_Data!AL204)+Raw_Data!AL222,"Miss","In-line")))))</f>
        <v>Beat</v>
      </c>
      <c r="AM49" s="100" t="str">
        <f>IF(NOT(ISNUMBER(AM47)),"",IF(OR(AM47&lt;0,AM47&gt;0.45),"N/M",IF(Raw_Data!AM223&lt;&gt;"",IF(AM47&lt;Raw_Data!AM223,"Beat",IF(AM47&gt;Raw_Data!AM224,"Miss","In-line")),IF(AM47&lt;IF(Raw_Data!AM204="",AM46,Raw_Data!AM204)-Raw_Data!AM222,"Beat",IF(AM47&gt;IF(Raw_Data!AM204="",AM46,Raw_Data!AM204)+Raw_Data!AM222,"Miss","In-line")))))</f>
        <v>In-line</v>
      </c>
      <c r="AN49" s="100" t="str">
        <f>IF(NOT(ISNUMBER(AN47)),"",IF(OR(AN47&lt;0,AN47&gt;0.45),"N/M",IF(Raw_Data!AN223&lt;&gt;"",IF(AN47&lt;Raw_Data!AN223,"Beat",IF(AN47&gt;Raw_Data!AN224,"Miss","In-line")),IF(AN47&lt;IF(Raw_Data!AN204="",AN46,Raw_Data!AN204)-Raw_Data!AN222,"Beat",IF(AN47&gt;IF(Raw_Data!AN204="",AN46,Raw_Data!AN204)+Raw_Data!AN222,"Miss","In-line")))))</f>
        <v/>
      </c>
      <c r="AO49" s="100"/>
      <c r="AP49" s="102" t="s">
        <v>405</v>
      </c>
    </row>
    <row r="50" spans="1:42" ht="13.5" customHeight="1" x14ac:dyDescent="0.15">
      <c r="A50" t="s">
        <v>406</v>
      </c>
      <c r="AL50" s="105" t="str">
        <f>IF(Raw_Data!AL223="","",TEXT(Raw_Data!AL223,"0.0%")&amp;" – "&amp;TEXT(Raw_Data!AL224,"0.0%"))</f>
        <v>17.0% – 19.0%</v>
      </c>
      <c r="AM50" s="105" t="str">
        <f>IF(Raw_Data!AM223="","",TEXT(Raw_Data!AM223,"0.0%")&amp;" – "&amp;TEXT(Raw_Data!AM224,"0.0%"))</f>
        <v>16.0% – 18.0%</v>
      </c>
      <c r="AN50" s="105" t="str">
        <f>IF(Raw_Data!AN223="","",TEXT(Raw_Data!AN223,"0.0%")&amp;" – "&amp;TEXT(Raw_Data!AN224,"0.0%"))</f>
        <v>16.0% – 18.0%</v>
      </c>
    </row>
    <row r="51" spans="1:42" ht="15" customHeight="1" x14ac:dyDescent="0.15">
      <c r="A51" s="96" t="s">
        <v>407</v>
      </c>
    </row>
    <row r="52" spans="1:42" ht="225" customHeight="1" x14ac:dyDescent="0.15">
      <c r="A52" s="109" t="s">
        <v>408</v>
      </c>
      <c r="J52" s="110" t="str">
        <f>IF(Raw_Data!B244="","",LEFT(Raw_Data!B244,100))</f>
        <v>For fiscal 2020, revenue is expected to be flat to down slightly.</v>
      </c>
      <c r="K52" s="110"/>
      <c r="L52" s="110"/>
      <c r="M52" s="110" t="str">
        <f>IF(Raw_Data!B245="","",LEFT(Raw_Data!B245,100))</f>
        <v>Outlook excludes any contribution from the pending Mellanox acquisition; strong sequential growth ex</v>
      </c>
      <c r="N52" s="110" t="str">
        <f>IF(Raw_Data!B246="","",LEFT(Raw_Data!B246,100))</f>
        <v>Outlook reduced by $100 million for potential coronavirus impact and excludes any Mellanox contribut</v>
      </c>
      <c r="O52" s="110" t="str">
        <f>IF(Raw_Data!B247="","",LEFT(Raw_Data!B247,100))</f>
        <v>Mellanox is expected to contribute a low-teens percentage of combined second-quarter revenue.</v>
      </c>
      <c r="P52" s="110"/>
      <c r="Q52" s="110"/>
      <c r="R52" s="110"/>
      <c r="S52" s="110"/>
      <c r="T52" s="110"/>
      <c r="U52" s="110"/>
      <c r="V52" s="110" t="str">
        <f>IF(Raw_Data!B248="","",LEFT(Raw_Data!B248,300))</f>
        <v>GAAP operating expenses are expected to be $3.55 billion, including the $1.36 billion Arm write-off.</v>
      </c>
      <c r="W52" s="110" t="str">
        <f>IF(Raw_Data!B249="","",LEFT(Raw_Data!B249,300))</f>
        <v>Revenue outlook includes an estimated reduction of approximately $500 million relating to Russia and the COVID lockdowns in China.</v>
      </c>
      <c r="X52" s="110" t="str">
        <f>IF(Raw_Data!B250="","",LEFT(Raw_Data!B250,300))</f>
        <v>Gaming and Professional Visualization revenue are expected to decline sequentially as OEMs and channel partners reduce inventory levels.</v>
      </c>
      <c r="Y52" s="110"/>
      <c r="Z52" s="110"/>
      <c r="AA52" s="110" t="str">
        <f>IF(Raw_Data!B251="","",LEFT(Raw_Data!B251,300))</f>
        <v>"A trillion dollars of installed global data center infrastructure will transition from general purpose to accelerated computing" — CEO, same release.</v>
      </c>
      <c r="AB52" s="110"/>
      <c r="AC52" s="110"/>
      <c r="AD52" s="110"/>
      <c r="AE52" s="110" t="str">
        <f>IF(Raw_Data!B252="","",LEFT(Raw_Data!B252,300))</f>
        <v>For the full year, gross margins are expected to be in the mid-70% range; full-year operating expenses expected to grow in the low-40% range.</v>
      </c>
      <c r="AF52" s="110" t="str">
        <f>IF(Raw_Data!B253="","",LEFT(Raw_Data!B253,300))</f>
        <v>Full-year gross margins expected in the mid-70% range; full-year operating expense growth expected in the mid- to upper-40% range.</v>
      </c>
      <c r="AG52" s="110"/>
      <c r="AH52" s="110"/>
      <c r="AI52" s="110" t="str">
        <f>IF(Raw_Data!B254="","",LEFT(Raw_Data!B254,300))</f>
        <v>Outlook reflects a loss in H20 revenue of approximately $8.0 billion due to export control limitations; company working toward mid-70% gross margins late in the year.</v>
      </c>
      <c r="AJ52" s="110" t="str">
        <f>IF(Raw_Data!B255="","",LEFT(Raw_Data!B255,300))</f>
        <v>No H20 shipments to China assumed in the outlook; company continues to expect to exit the year with non-GAAP gross margins in the mid-70% range.</v>
      </c>
      <c r="AK52" s="110"/>
      <c r="AL52" s="110" t="str">
        <f>IF(Raw_Data!B256="","",LEFT(Raw_Data!B256,300))</f>
        <v>No Data Center compute revenue from China assumed; beginning Q1-FY27 non-GAAP measures include stock-based compensation expense ($1.9B within the opex guide).</v>
      </c>
      <c r="AM52" s="110" t="str">
        <f>IF(Raw_Data!B257="","",LEFT(Raw_Data!B257,300))</f>
        <v>NVIDIA is not assuming any Data Center compute revenue from China in its outlook.</v>
      </c>
      <c r="AN52" s="110" t="str">
        <f>IF(Raw_Data!B258="","",LEFT(Raw_Data!B258,300))</f>
        <v>NVIDIA is not assuming any Data Center compute revenue from China in its outlook.</v>
      </c>
      <c r="AO52" s="111"/>
      <c r="AP52" s="112" t="s">
        <v>409</v>
      </c>
    </row>
    <row r="54" spans="1:42" ht="15" customHeight="1" x14ac:dyDescent="0.15">
      <c r="A54" s="113" t="s">
        <v>410</v>
      </c>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row>
    <row r="55" spans="1:42" ht="15" customHeight="1" x14ac:dyDescent="0.15">
      <c r="A55" s="97" t="s">
        <v>411</v>
      </c>
      <c r="B55" s="115">
        <f>COUNTIF($B$13:$AM$13,"Beat")</f>
        <v>29</v>
      </c>
      <c r="C55" s="115">
        <f>COUNTIF($B$13:$AM$13,"In-line")</f>
        <v>6</v>
      </c>
      <c r="D55" s="115">
        <f>COUNTIF($B$13:$AM$13,"Miss")</f>
        <v>3</v>
      </c>
      <c r="E55" s="96" t="s">
        <v>412</v>
      </c>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5"/>
      <c r="AK55" s="115"/>
      <c r="AL55" s="115"/>
      <c r="AM55" s="115"/>
      <c r="AN55" s="115"/>
      <c r="AO55" s="115"/>
      <c r="AP55" s="102" t="s">
        <v>413</v>
      </c>
    </row>
    <row r="56" spans="1:42" ht="15" customHeight="1" x14ac:dyDescent="0.15">
      <c r="A56" s="97" t="s">
        <v>414</v>
      </c>
      <c r="B56" s="115">
        <f>COLUMN(AM13)-SUMPRODUCT(MAX(($B$13:$AM$13&lt;&gt;"Beat")*COLUMN($B$13:$AM$13)))</f>
        <v>14</v>
      </c>
      <c r="C56" s="115"/>
      <c r="D56" s="115"/>
      <c r="E56" s="96"/>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5"/>
      <c r="AO56" s="115"/>
      <c r="AP56" s="102" t="s">
        <v>415</v>
      </c>
    </row>
    <row r="57" spans="1:42" ht="15" customHeight="1" x14ac:dyDescent="0.15">
      <c r="A57" s="97" t="s">
        <v>416</v>
      </c>
      <c r="B57" s="115">
        <f>COUNTIF($B$19:$AM$19,"Beat")</f>
        <v>11</v>
      </c>
      <c r="C57" s="115">
        <f>COUNTIF($B$19:$AM$19,"In-line")</f>
        <v>22</v>
      </c>
      <c r="D57" s="115">
        <f>COUNTIF($B$19:$AM$19,"Miss")</f>
        <v>5</v>
      </c>
      <c r="E57" s="96" t="s">
        <v>412</v>
      </c>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02" t="s">
        <v>417</v>
      </c>
    </row>
    <row r="58" spans="1:42" ht="15" customHeight="1" x14ac:dyDescent="0.15">
      <c r="A58" s="97" t="s">
        <v>418</v>
      </c>
      <c r="B58" s="115">
        <f>COUNTIF($B$23:$AM$23,"Beat")</f>
        <v>12</v>
      </c>
      <c r="C58" s="115">
        <f>COUNTIF($B$23:$AM$23,"In-line")</f>
        <v>21</v>
      </c>
      <c r="D58" s="115">
        <f>COUNTIF($B$23:$AM$23,"Miss")</f>
        <v>5</v>
      </c>
      <c r="E58" s="96" t="s">
        <v>412</v>
      </c>
      <c r="F58" s="115"/>
      <c r="G58" s="115"/>
      <c r="H58" s="115"/>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c r="AN58" s="115"/>
      <c r="AO58" s="115"/>
      <c r="AP58" s="102" t="s">
        <v>419</v>
      </c>
    </row>
    <row r="59" spans="1:42" ht="15" customHeight="1" x14ac:dyDescent="0.15">
      <c r="A59" s="97" t="s">
        <v>420</v>
      </c>
      <c r="B59" s="115">
        <f>SUMPRODUCT(--(ABS($B$28:$AM$28)&lt;=0.02))</f>
        <v>34</v>
      </c>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c r="AN59" s="115"/>
      <c r="AO59" s="115"/>
      <c r="AP59" s="102" t="s">
        <v>421</v>
      </c>
    </row>
    <row r="60" spans="1:42" ht="15" customHeight="1" x14ac:dyDescent="0.15">
      <c r="A60" s="97" t="s">
        <v>422</v>
      </c>
      <c r="B60" s="103">
        <f>I10/I9-1</f>
        <v>-0.18518518518518523</v>
      </c>
      <c r="C60" s="103" t="s">
        <v>423</v>
      </c>
      <c r="D60" s="103">
        <f>I11/I10-1</f>
        <v>2.2727272727272041E-3</v>
      </c>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102" t="s">
        <v>424</v>
      </c>
    </row>
    <row r="61" spans="1:42" ht="15" customHeight="1" x14ac:dyDescent="0.15">
      <c r="A61" s="97" t="s">
        <v>425</v>
      </c>
      <c r="B61" s="103">
        <f>W10/W9-1</f>
        <v>-0.1728395061728395</v>
      </c>
      <c r="C61" s="103" t="s">
        <v>423</v>
      </c>
      <c r="D61" s="103">
        <f>W11/W10-1</f>
        <v>5.9701492537311829E-4</v>
      </c>
      <c r="E61" s="103" t="s">
        <v>426</v>
      </c>
      <c r="F61" s="103">
        <f>(Raw_Data!W200-Raw_Data!W207)*10000</f>
        <v>-2100</v>
      </c>
      <c r="G61" s="103" t="s">
        <v>427</v>
      </c>
      <c r="H61" s="103">
        <f>(Raw_Data!W210-Raw_Data!W200)*10000</f>
        <v>-20.000000000000018</v>
      </c>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2" t="s">
        <v>428</v>
      </c>
    </row>
    <row r="63" spans="1:42" ht="15" customHeight="1" x14ac:dyDescent="0.15">
      <c r="A63" s="113" t="s">
        <v>429</v>
      </c>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c r="AO63" s="114"/>
      <c r="AP63" s="114"/>
    </row>
    <row r="64" spans="1:42" ht="15" customHeight="1" x14ac:dyDescent="0.15">
      <c r="A64" s="96" t="s">
        <v>430</v>
      </c>
      <c r="B64" s="115" t="s">
        <v>118</v>
      </c>
      <c r="C64" s="115" t="s">
        <v>431</v>
      </c>
      <c r="D64" s="115" t="s">
        <v>432</v>
      </c>
      <c r="E64" s="96" t="s">
        <v>433</v>
      </c>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row>
    <row r="65" spans="1:42" ht="15" customHeight="1" x14ac:dyDescent="0.15">
      <c r="A65" s="97" t="s">
        <v>434</v>
      </c>
      <c r="B65" s="107">
        <f>AN9*(1-Raw_Data!AN205)</f>
        <v>105840</v>
      </c>
      <c r="C65" s="107">
        <f>AN9</f>
        <v>108000</v>
      </c>
      <c r="D65" s="107">
        <f>AN9*(1+Raw_Data!AN205)</f>
        <v>110160</v>
      </c>
      <c r="E65" s="116" t="s">
        <v>435</v>
      </c>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2" t="s">
        <v>436</v>
      </c>
    </row>
    <row r="66" spans="1:42" ht="15" customHeight="1" x14ac:dyDescent="0.15">
      <c r="A66" s="97" t="s">
        <v>437</v>
      </c>
      <c r="B66" s="103">
        <f>-Raw_Data!AN209+AN16</f>
        <v>0.73499999999999999</v>
      </c>
      <c r="C66" s="103">
        <f>AN16</f>
        <v>0.74</v>
      </c>
      <c r="D66" s="103">
        <f>AN16+Raw_Data!AN209</f>
        <v>0.745</v>
      </c>
      <c r="E66" s="116" t="s">
        <v>438</v>
      </c>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2" t="s">
        <v>439</v>
      </c>
    </row>
    <row r="67" spans="1:42" ht="15" customHeight="1" x14ac:dyDescent="0.15">
      <c r="A67" s="97" t="s">
        <v>440</v>
      </c>
      <c r="C67" s="107">
        <f>AN26</f>
        <v>9000</v>
      </c>
      <c r="E67" s="116" t="s">
        <v>441</v>
      </c>
      <c r="AP67" s="102" t="s">
        <v>439</v>
      </c>
    </row>
    <row r="68" spans="1:42" ht="15" customHeight="1" x14ac:dyDescent="0.15">
      <c r="A68" s="97" t="s">
        <v>442</v>
      </c>
      <c r="B68" s="105">
        <f>Raw_Data!AN223</f>
        <v>0.16</v>
      </c>
      <c r="C68" s="117">
        <f>AVERAGE(B68,D68)</f>
        <v>0.16999999999999998</v>
      </c>
      <c r="D68" s="105">
        <f>Raw_Data!AN224</f>
        <v>0.18</v>
      </c>
      <c r="E68" s="116" t="s">
        <v>443</v>
      </c>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2" t="s">
        <v>439</v>
      </c>
    </row>
    <row r="69" spans="1:42" ht="15" customHeight="1" x14ac:dyDescent="0.15">
      <c r="A69" s="97" t="s">
        <v>444</v>
      </c>
      <c r="B69" s="103">
        <f>(B65*$C$66-$C$67)/B65</f>
        <v>0.65496598639455783</v>
      </c>
      <c r="C69" s="103">
        <f>(C65*C66-C67)/C65</f>
        <v>0.65666666666666662</v>
      </c>
      <c r="D69" s="103">
        <f>(D65*$C$66-$C$67)/D65</f>
        <v>0.65830065359477119</v>
      </c>
      <c r="E69" s="116" t="s">
        <v>445</v>
      </c>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2" t="s">
        <v>446</v>
      </c>
    </row>
    <row r="70" spans="1:42" ht="15" customHeight="1" x14ac:dyDescent="0.15">
      <c r="A70" s="97" t="s">
        <v>447</v>
      </c>
      <c r="C70" s="107">
        <f>-IS!K7+C65</f>
        <v>11779</v>
      </c>
      <c r="D70" s="116"/>
      <c r="E70" s="116" t="s">
        <v>448</v>
      </c>
      <c r="AP70" s="102" t="s">
        <v>449</v>
      </c>
    </row>
    <row r="71" spans="1:42" ht="15" customHeight="1" x14ac:dyDescent="0.15">
      <c r="A71" s="97" t="s">
        <v>450</v>
      </c>
      <c r="C71" s="118">
        <f>C65/Raw_Data!AJ206-1</f>
        <v>0.89453741711398793</v>
      </c>
      <c r="D71" s="116"/>
      <c r="E71" s="116"/>
      <c r="AP71" s="102" t="s">
        <v>451</v>
      </c>
    </row>
    <row r="72" spans="1:42" ht="15" customHeight="1" x14ac:dyDescent="0.15">
      <c r="A72" s="97" t="s">
        <v>452</v>
      </c>
      <c r="C72" s="118">
        <f>MEDIAN(AF12:AM12)</f>
        <v>4.846717948717949E-2</v>
      </c>
      <c r="D72" s="107">
        <f>C65*(1+C72)</f>
        <v>113234.45538461537</v>
      </c>
      <c r="E72" s="116" t="s">
        <v>453</v>
      </c>
      <c r="AP72" s="102" t="s">
        <v>454</v>
      </c>
    </row>
    <row r="74" spans="1:42" ht="15" customHeight="1" x14ac:dyDescent="0.15">
      <c r="A74" s="113" t="s">
        <v>455</v>
      </c>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row>
    <row r="75" spans="1:42" ht="15" customHeight="1" x14ac:dyDescent="0.15">
      <c r="A75" s="97" t="s">
        <v>456</v>
      </c>
      <c r="B75" s="107">
        <f>IS!L7</f>
        <v>109630.42401839999</v>
      </c>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c r="AP75" s="102" t="s">
        <v>457</v>
      </c>
    </row>
    <row r="76" spans="1:42" ht="15" customHeight="1" x14ac:dyDescent="0.15">
      <c r="A76" s="97" t="s">
        <v>458</v>
      </c>
      <c r="B76" s="103">
        <f>B75/C65-1</f>
        <v>1.5096518688888727E-2</v>
      </c>
      <c r="C76" s="103"/>
      <c r="D76" s="103"/>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102" t="s">
        <v>459</v>
      </c>
    </row>
    <row r="78" spans="1:42" ht="15" customHeight="1" x14ac:dyDescent="0.15">
      <c r="A78" s="113" t="s">
        <v>460</v>
      </c>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row>
    <row r="79" spans="1:42" ht="15" customHeight="1" x14ac:dyDescent="0.15">
      <c r="A79" s="102" t="s">
        <v>461</v>
      </c>
    </row>
    <row r="80" spans="1:42" ht="15" customHeight="1" x14ac:dyDescent="0.15">
      <c r="A80" s="102" t="s">
        <v>462</v>
      </c>
    </row>
    <row r="81" spans="1:1" ht="15" customHeight="1" x14ac:dyDescent="0.15">
      <c r="A81" s="102" t="s">
        <v>463</v>
      </c>
    </row>
    <row r="82" spans="1:1" ht="15" customHeight="1" x14ac:dyDescent="0.15">
      <c r="A82" s="102" t="s">
        <v>464</v>
      </c>
    </row>
    <row r="83" spans="1:1" ht="15" customHeight="1" x14ac:dyDescent="0.15">
      <c r="A83" s="102" t="s">
        <v>465</v>
      </c>
    </row>
  </sheetData>
  <phoneticPr fontId="61" type="noConversion"/>
  <conditionalFormatting sqref="B13:AN13">
    <cfRule type="containsText" dxfId="23" priority="2" operator="containsText" text="Beat">
      <formula>NOT(ISERROR(SEARCH("Beat",B13)))</formula>
    </cfRule>
    <cfRule type="containsText" dxfId="22" priority="3" operator="containsText" text="Miss">
      <formula>NOT(ISERROR(SEARCH("Miss",B13)))</formula>
    </cfRule>
    <cfRule type="containsText" dxfId="21" priority="4" operator="containsText" text="In-line">
      <formula>NOT(ISERROR(SEARCH("In-line",B13)))</formula>
    </cfRule>
  </conditionalFormatting>
  <conditionalFormatting sqref="B19:AN19">
    <cfRule type="containsText" dxfId="20" priority="5" operator="containsText" text="Beat">
      <formula>NOT(ISERROR(SEARCH("Beat",B19)))</formula>
    </cfRule>
    <cfRule type="containsText" dxfId="19" priority="6" operator="containsText" text="Miss">
      <formula>NOT(ISERROR(SEARCH("Miss",B19)))</formula>
    </cfRule>
    <cfRule type="containsText" dxfId="18" priority="7" operator="containsText" text="In-line">
      <formula>NOT(ISERROR(SEARCH("In-line",B19)))</formula>
    </cfRule>
  </conditionalFormatting>
  <conditionalFormatting sqref="B23:AN23">
    <cfRule type="containsText" dxfId="17" priority="8" operator="containsText" text="Beat">
      <formula>NOT(ISERROR(SEARCH("Beat",B23)))</formula>
    </cfRule>
    <cfRule type="containsText" dxfId="16" priority="9" operator="containsText" text="Miss">
      <formula>NOT(ISERROR(SEARCH("Miss",B23)))</formula>
    </cfRule>
    <cfRule type="containsText" dxfId="15" priority="10" operator="containsText" text="In-line">
      <formula>NOT(ISERROR(SEARCH("In-line",B23)))</formula>
    </cfRule>
  </conditionalFormatting>
  <conditionalFormatting sqref="B29:AN29">
    <cfRule type="containsText" dxfId="14" priority="11" operator="containsText" text="Beat">
      <formula>NOT(ISERROR(SEARCH("Beat",B29)))</formula>
    </cfRule>
    <cfRule type="containsText" dxfId="13" priority="12" operator="containsText" text="Miss">
      <formula>NOT(ISERROR(SEARCH("Miss",B29)))</formula>
    </cfRule>
    <cfRule type="containsText" dxfId="12" priority="13" operator="containsText" text="In-line">
      <formula>NOT(ISERROR(SEARCH("In-line",B29)))</formula>
    </cfRule>
  </conditionalFormatting>
  <conditionalFormatting sqref="B33:AN33">
    <cfRule type="containsText" dxfId="11" priority="14" operator="containsText" text="Beat">
      <formula>NOT(ISERROR(SEARCH("Beat",B33)))</formula>
    </cfRule>
    <cfRule type="containsText" dxfId="10" priority="15" operator="containsText" text="Miss">
      <formula>NOT(ISERROR(SEARCH("Miss",B33)))</formula>
    </cfRule>
    <cfRule type="containsText" dxfId="9" priority="16" operator="containsText" text="In-line">
      <formula>NOT(ISERROR(SEARCH("In-line",B33)))</formula>
    </cfRule>
  </conditionalFormatting>
  <conditionalFormatting sqref="B39:AN39">
    <cfRule type="containsText" dxfId="8" priority="17" operator="containsText" text="Beat">
      <formula>NOT(ISERROR(SEARCH("Beat",B39)))</formula>
    </cfRule>
    <cfRule type="containsText" dxfId="7" priority="18" operator="containsText" text="Miss">
      <formula>NOT(ISERROR(SEARCH("Miss",B39)))</formula>
    </cfRule>
    <cfRule type="containsText" dxfId="6" priority="19" operator="containsText" text="In-line">
      <formula>NOT(ISERROR(SEARCH("In-line",B39)))</formula>
    </cfRule>
  </conditionalFormatting>
  <conditionalFormatting sqref="B45:AN45">
    <cfRule type="containsText" dxfId="5" priority="20" operator="containsText" text="Beat">
      <formula>NOT(ISERROR(SEARCH("Beat",B45)))</formula>
    </cfRule>
    <cfRule type="containsText" dxfId="4" priority="21" operator="containsText" text="Miss">
      <formula>NOT(ISERROR(SEARCH("Miss",B45)))</formula>
    </cfRule>
    <cfRule type="containsText" dxfId="3" priority="22" operator="containsText" text="In-line">
      <formula>NOT(ISERROR(SEARCH("In-line",B45)))</formula>
    </cfRule>
  </conditionalFormatting>
  <conditionalFormatting sqref="B49:AN49">
    <cfRule type="containsText" dxfId="2" priority="23" operator="containsText" text="Beat">
      <formula>NOT(ISERROR(SEARCH("Beat",B49)))</formula>
    </cfRule>
    <cfRule type="containsText" dxfId="1" priority="24" operator="containsText" text="Miss">
      <formula>NOT(ISERROR(SEARCH("Miss",B49)))</formula>
    </cfRule>
    <cfRule type="containsText" dxfId="0" priority="25" operator="containsText" text="In-line">
      <formula>NOT(ISERROR(SEARCH("In-line",B49)))</formula>
    </cfRule>
  </conditionalFormatting>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34"/>
  <sheetViews>
    <sheetView showGridLines="0" zoomScale="125" zoomScaleNormal="125" workbookViewId="0">
      <pane xSplit="1" ySplit="3" topLeftCell="P4" activePane="bottomRight" state="frozen"/>
      <selection pane="topRight" activeCell="P1" sqref="P1"/>
      <selection pane="bottomLeft" activeCell="A4" sqref="A4"/>
      <selection pane="bottomRight" activeCell="R8" sqref="R8"/>
    </sheetView>
  </sheetViews>
  <sheetFormatPr baseColWidth="10" defaultColWidth="8.6640625" defaultRowHeight="14" x14ac:dyDescent="0.15"/>
  <cols>
    <col min="1" max="1" width="22" customWidth="1"/>
    <col min="2" max="7" width="13" customWidth="1"/>
    <col min="8" max="8" width="52" customWidth="1"/>
    <col min="9" max="9" width="13" customWidth="1"/>
    <col min="10" max="10" width="13" hidden="1" customWidth="1"/>
    <col min="11" max="31" width="13" customWidth="1"/>
    <col min="32" max="32" width="34" customWidth="1"/>
    <col min="33" max="33" width="30" customWidth="1"/>
    <col min="34" max="34" width="28" customWidth="1"/>
    <col min="35" max="35" width="30" customWidth="1"/>
    <col min="36" max="49" width="13" hidden="1" customWidth="1"/>
  </cols>
  <sheetData>
    <row r="1" spans="1:49" ht="18.75" customHeight="1" x14ac:dyDescent="0.15">
      <c r="A1" s="341" t="s">
        <v>466</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341"/>
      <c r="AK1" s="341"/>
      <c r="AL1" s="341"/>
      <c r="AM1" s="341"/>
      <c r="AN1" s="341"/>
      <c r="AO1" s="341"/>
      <c r="AP1" s="341"/>
      <c r="AQ1" s="341"/>
      <c r="AR1" s="341"/>
      <c r="AS1" s="341"/>
      <c r="AT1" s="341"/>
      <c r="AU1" s="341"/>
      <c r="AV1" s="341"/>
      <c r="AW1" s="341"/>
    </row>
    <row r="2" spans="1:49" ht="13.5" customHeight="1" x14ac:dyDescent="0.15">
      <c r="A2" s="342" t="s">
        <v>467</v>
      </c>
      <c r="B2" s="342"/>
      <c r="C2" s="342"/>
      <c r="D2" s="342"/>
      <c r="E2" s="342"/>
      <c r="F2" s="342"/>
      <c r="G2" s="342"/>
      <c r="H2" s="342"/>
      <c r="I2" s="342" t="s">
        <v>468</v>
      </c>
      <c r="J2" s="342"/>
      <c r="K2" s="342"/>
      <c r="L2" s="342"/>
      <c r="M2" s="342"/>
      <c r="N2" s="342"/>
      <c r="O2" s="342" t="s">
        <v>469</v>
      </c>
      <c r="P2" s="342"/>
      <c r="Q2" s="342"/>
      <c r="R2" s="342" t="s">
        <v>470</v>
      </c>
      <c r="S2" s="342"/>
      <c r="T2" s="342"/>
      <c r="U2" s="342"/>
      <c r="V2" s="342"/>
      <c r="W2" s="342"/>
      <c r="X2" s="342"/>
      <c r="Y2" s="342"/>
      <c r="Z2" s="342" t="s">
        <v>471</v>
      </c>
      <c r="AA2" s="342"/>
      <c r="AB2" s="342"/>
      <c r="AC2" s="342" t="s">
        <v>472</v>
      </c>
      <c r="AD2" s="342"/>
      <c r="AE2" s="342"/>
      <c r="AF2" s="342" t="s">
        <v>473</v>
      </c>
      <c r="AG2" s="342"/>
      <c r="AH2" s="342"/>
      <c r="AI2" s="342"/>
      <c r="AJ2" s="342" t="s">
        <v>474</v>
      </c>
      <c r="AK2" s="342"/>
      <c r="AL2" s="342"/>
      <c r="AM2" s="342"/>
      <c r="AN2" s="342"/>
      <c r="AO2" s="342"/>
      <c r="AP2" s="342"/>
      <c r="AQ2" s="342"/>
      <c r="AR2" s="342"/>
      <c r="AS2" s="342"/>
      <c r="AT2" s="342"/>
      <c r="AU2" s="342"/>
      <c r="AV2" s="342" t="s">
        <v>475</v>
      </c>
      <c r="AW2" s="342"/>
    </row>
    <row r="3" spans="1:49" ht="111.75" customHeight="1" x14ac:dyDescent="0.15">
      <c r="A3" s="119" t="s">
        <v>476</v>
      </c>
      <c r="B3" s="119" t="s">
        <v>477</v>
      </c>
      <c r="C3" s="119" t="s">
        <v>478</v>
      </c>
      <c r="D3" s="119" t="s">
        <v>479</v>
      </c>
      <c r="E3" s="119" t="s">
        <v>480</v>
      </c>
      <c r="F3" s="119" t="s">
        <v>481</v>
      </c>
      <c r="G3" s="119" t="s">
        <v>482</v>
      </c>
      <c r="H3" s="119" t="s">
        <v>483</v>
      </c>
      <c r="I3" s="119" t="s">
        <v>484</v>
      </c>
      <c r="J3" s="119" t="s">
        <v>485</v>
      </c>
      <c r="K3" s="119" t="s">
        <v>486</v>
      </c>
      <c r="L3" s="119" t="s">
        <v>487</v>
      </c>
      <c r="M3" s="119" t="s">
        <v>488</v>
      </c>
      <c r="N3" s="119" t="s">
        <v>489</v>
      </c>
      <c r="O3" s="120" t="s">
        <v>490</v>
      </c>
      <c r="P3" s="119" t="s">
        <v>491</v>
      </c>
      <c r="Q3" s="119" t="s">
        <v>492</v>
      </c>
      <c r="R3" s="120" t="s">
        <v>493</v>
      </c>
      <c r="S3" s="119" t="s">
        <v>494</v>
      </c>
      <c r="T3" s="119" t="s">
        <v>495</v>
      </c>
      <c r="U3" s="119" t="s">
        <v>496</v>
      </c>
      <c r="V3" s="119" t="s">
        <v>497</v>
      </c>
      <c r="W3" s="119" t="s">
        <v>498</v>
      </c>
      <c r="X3" s="119" t="s">
        <v>499</v>
      </c>
      <c r="Y3" s="119" t="s">
        <v>500</v>
      </c>
      <c r="Z3" s="120" t="s">
        <v>501</v>
      </c>
      <c r="AA3" s="119" t="s">
        <v>502</v>
      </c>
      <c r="AB3" s="119" t="s">
        <v>503</v>
      </c>
      <c r="AC3" s="120" t="s">
        <v>504</v>
      </c>
      <c r="AD3" s="119" t="s">
        <v>505</v>
      </c>
      <c r="AE3" s="119" t="s">
        <v>506</v>
      </c>
      <c r="AF3" s="120" t="s">
        <v>507</v>
      </c>
      <c r="AG3" s="119" t="s">
        <v>508</v>
      </c>
      <c r="AH3" s="119" t="s">
        <v>509</v>
      </c>
      <c r="AI3" s="119" t="s">
        <v>510</v>
      </c>
      <c r="AJ3" s="119" t="s">
        <v>511</v>
      </c>
      <c r="AK3" s="119" t="s">
        <v>512</v>
      </c>
      <c r="AL3" s="119" t="s">
        <v>513</v>
      </c>
      <c r="AM3" s="119" t="s">
        <v>514</v>
      </c>
      <c r="AN3" s="119" t="s">
        <v>515</v>
      </c>
      <c r="AO3" s="119" t="s">
        <v>516</v>
      </c>
      <c r="AP3" s="119" t="s">
        <v>517</v>
      </c>
      <c r="AQ3" s="119" t="s">
        <v>518</v>
      </c>
      <c r="AR3" s="119" t="s">
        <v>519</v>
      </c>
      <c r="AS3" s="119" t="s">
        <v>520</v>
      </c>
      <c r="AT3" s="119" t="s">
        <v>521</v>
      </c>
      <c r="AU3" s="119" t="s">
        <v>522</v>
      </c>
      <c r="AV3" s="120" t="s">
        <v>523</v>
      </c>
      <c r="AW3" s="119" t="s">
        <v>524</v>
      </c>
    </row>
    <row r="4" spans="1:49" ht="13.5" customHeight="1" x14ac:dyDescent="0.15">
      <c r="A4" s="121" t="s">
        <v>525</v>
      </c>
      <c r="B4" s="114"/>
      <c r="C4" s="114"/>
      <c r="D4" s="114"/>
      <c r="E4" s="114"/>
      <c r="F4" s="114"/>
      <c r="G4" s="114"/>
      <c r="H4" s="114"/>
      <c r="I4" s="114"/>
      <c r="J4" s="114"/>
      <c r="K4" s="114"/>
      <c r="L4" s="114"/>
      <c r="M4" s="114"/>
      <c r="N4" s="114"/>
      <c r="O4" s="122"/>
      <c r="P4" s="114"/>
      <c r="Q4" s="114"/>
      <c r="R4" s="122"/>
      <c r="S4" s="114"/>
      <c r="T4" s="114"/>
      <c r="U4" s="114"/>
      <c r="V4" s="114"/>
      <c r="W4" s="114"/>
      <c r="X4" s="114"/>
      <c r="Y4" s="114"/>
      <c r="Z4" s="122"/>
      <c r="AA4" s="114"/>
      <c r="AB4" s="114"/>
      <c r="AC4" s="122"/>
      <c r="AD4" s="114"/>
      <c r="AE4" s="114"/>
      <c r="AF4" s="122"/>
      <c r="AG4" s="114"/>
      <c r="AH4" s="114"/>
      <c r="AI4" s="114"/>
      <c r="AJ4" s="122"/>
      <c r="AK4" s="114"/>
      <c r="AL4" s="114"/>
      <c r="AM4" s="114"/>
      <c r="AN4" s="114"/>
      <c r="AO4" s="114"/>
      <c r="AP4" s="114"/>
      <c r="AQ4" s="114"/>
      <c r="AR4" s="114"/>
      <c r="AS4" s="114"/>
      <c r="AT4" s="114"/>
      <c r="AU4" s="114"/>
      <c r="AV4" s="122"/>
      <c r="AW4" s="114"/>
    </row>
    <row r="5" spans="1:49" ht="60" customHeight="1" x14ac:dyDescent="0.15">
      <c r="A5" s="123" t="str">
        <f>Raw_Data!B171</f>
        <v>NVIDIA Corp.</v>
      </c>
      <c r="B5" s="124" t="str">
        <f>Raw_Data!C171</f>
        <v>NVDA</v>
      </c>
      <c r="C5" s="124" t="str">
        <f>Raw_Data!D171</f>
        <v>NasdaqGS</v>
      </c>
      <c r="D5" s="124" t="str">
        <f>Raw_Data!D357</f>
        <v>Ordinary</v>
      </c>
      <c r="E5" s="124" t="str">
        <f>Raw_Data!E171</f>
        <v>USD</v>
      </c>
      <c r="F5" s="125" t="str">
        <f>Raw_Data!F171</f>
        <v>Jan (52/53-week; FY2027 ends 2027-01-31)</v>
      </c>
      <c r="G5" s="125" t="str">
        <f>Raw_Data!G171</f>
        <v>Q2FY27A (Jul-26)</v>
      </c>
      <c r="H5" s="126" t="str">
        <f>Raw_Data!H171</f>
        <v>Accelerated computing: data-center GPUs (Blackwell/Rubin) + networking + CUDA ecosystem; segments: Data Center / Edge Computing [target]</v>
      </c>
      <c r="I5" s="127">
        <f>Raw_Data!I171</f>
        <v>230.48</v>
      </c>
      <c r="J5" s="128">
        <f>Raw_Data!K171</f>
        <v>5554.5690290000002</v>
      </c>
      <c r="K5" s="127">
        <f t="shared" ref="K5:K10" si="0">IF(ISNUMBER($J5),IF($E5="USD",$J5,$J5/VLOOKUP($E5&amp;"=X",$B$24:$C$25,2,0)),"n.a.")</f>
        <v>5554.5690290000002</v>
      </c>
      <c r="L5" s="128">
        <f>Raw_Data!L171</f>
        <v>-23.22</v>
      </c>
      <c r="M5" s="128">
        <f>Raw_Data!M171</f>
        <v>228.98400000000001</v>
      </c>
      <c r="N5" s="127">
        <f t="shared" ref="N5:N10" si="1">IF(ISNUMBER($L5),IF($E5="USD",$K5+$L5,$K5+$L5/VLOOKUP($E5&amp;"=X",$B$24:$C$25,2,0)),"n.a.")</f>
        <v>5531.349029</v>
      </c>
      <c r="O5" s="129">
        <f>Raw_Data!P171</f>
        <v>9.31</v>
      </c>
      <c r="P5" s="128">
        <f>Raw_Data!Q171</f>
        <v>15.91</v>
      </c>
      <c r="Q5" s="128">
        <f>Raw_Data!E357</f>
        <v>11.91</v>
      </c>
      <c r="R5" s="130">
        <f t="shared" ref="R5:R10" si="2">IFERROR(IF(N($Q5)&lt;=0,"n.a.",$I5/$Q5),"n.a.")</f>
        <v>19.351805205709486</v>
      </c>
      <c r="S5" s="131">
        <f t="shared" ref="S5:S10" si="3">IFERROR(IF(N($O5)&lt;=0,"n.a.",$I5/$O5),"n.a.")</f>
        <v>24.756176154672392</v>
      </c>
      <c r="T5" s="131">
        <f t="shared" ref="T5:T10" si="4">IFERROR(IF(N($P5)&lt;=0,"n.a.",$I5/$P5),"n.a.")</f>
        <v>14.486486486486486</v>
      </c>
      <c r="U5" s="132">
        <f>Raw_Data!F357</f>
        <v>46.26</v>
      </c>
      <c r="V5" s="133" t="s">
        <v>247</v>
      </c>
      <c r="W5" s="131">
        <f>IFERROR($N5/((SUM(IS!H13:K13)+SUM(CF!H8:K8))/1000),"n.a.")</f>
        <v>27.482779152961754</v>
      </c>
      <c r="X5" s="131">
        <f t="shared" ref="X5:X10" si="5">IFERROR(IF(N($M5)&lt;=0,"n.a.",$J5/$M5),"n.a.")</f>
        <v>24.257454795968279</v>
      </c>
      <c r="Y5" s="131">
        <f t="shared" ref="Y5:Y10" si="6">IFERROR(IF(OR(N($O5)&lt;=0,N($P5)&lt;=0,($P5/$O5-1)&lt;=0),"n.a.",$S5/(($P5/$O5-1)*100)),"n.a.")</f>
        <v>0.3492121212121212</v>
      </c>
      <c r="Z5" s="134">
        <f>IS!X24</f>
        <v>0.71068084357547079</v>
      </c>
      <c r="AA5" s="135">
        <f>Raw_Data!G357</f>
        <v>0.6038</v>
      </c>
      <c r="AB5" s="136">
        <f t="shared" ref="AB5:AB10" si="7">IF(OR(NOT(ISNUMBER($AN5)),NOT(ISNUMBER($AJ5)),$AJ5=0),"n.a.",$AN5/$AJ5)</f>
        <v>0.61698265242801176</v>
      </c>
      <c r="AC5" s="134">
        <f>IS!Y7/IS!X7-1</f>
        <v>0.88337289536107599</v>
      </c>
      <c r="AD5" s="136">
        <f>IS!K7/IS!G7-1</f>
        <v>1.0585114348672526</v>
      </c>
      <c r="AE5" s="136">
        <f t="shared" ref="AE5:AE10" si="8">IFERROR(IF(OR(N($O5)&lt;=0,N($P5)&lt;=0),"n.a.",$P5/$O5-1),"n.a.")</f>
        <v>0.70891514500537056</v>
      </c>
      <c r="AF5" s="137" t="str">
        <f>Raw_Data!M357</f>
        <v>Data Center (Hyperscale + AI Clouds, I&amp;E) / Edge Computing [target; D 10-K FY2026]</v>
      </c>
      <c r="AG5" s="126" t="str">
        <f>Raw_Data!N357</f>
        <v>n.a. — merchant accelerated-computing platforms (Blackwell/Rubin), not custom ASIC</v>
      </c>
      <c r="AH5" s="138">
        <f>SUM(Raw_Data!F67:I67)/SUM(Raw_Data!F8:I8)</f>
        <v>0.89718808176421005</v>
      </c>
      <c r="AI5" s="126" t="str">
        <f>Raw_Data!P357</f>
        <v>Buyer — HBM3E/HBM4 (288GB/GPU on Ultra/Rubin) + LPDDR5X/SOCAMM on Grace/Vera; GDDR on gaming</v>
      </c>
      <c r="AJ5" s="129">
        <f>Raw_Data!N171</f>
        <v>215.93799999999999</v>
      </c>
      <c r="AK5" s="127">
        <f t="shared" ref="AK5:AK10" si="9">IF(ISNUMBER($AJ5),IF($E5="USD",$AJ5,$AJ5/VLOOKUP($E5&amp;"=X",$B$24:$C$25,2,0)),"n.a.")</f>
        <v>215.93799999999999</v>
      </c>
      <c r="AL5" s="127">
        <f>IS!Y7/1000</f>
        <v>406.69177627848001</v>
      </c>
      <c r="AM5" s="127">
        <f t="shared" ref="AM5:AM10" si="10">IF(ISNUMBER($AL5),IF($E5="USD",$AL5,$AL5/VLOOKUP($E5&amp;"=X",$B$24:$C$25,2,0)),"n.a.")</f>
        <v>406.69177627848001</v>
      </c>
      <c r="AN5" s="128">
        <f>Raw_Data!O171</f>
        <v>133.22999999999999</v>
      </c>
      <c r="AO5" s="127">
        <f t="shared" ref="AO5:AO10" si="11">IF(ISNUMBER($AN5),IF($E5="USD",$AN5,$AN5/VLOOKUP($E5&amp;"=X",$B$24:$C$25,2,0)),"n.a.")</f>
        <v>133.22999999999999</v>
      </c>
      <c r="AP5" s="128">
        <f>Raw_Data!I357</f>
        <v>120.06699999999999</v>
      </c>
      <c r="AQ5" s="127">
        <f t="shared" ref="AQ5:AQ10" si="12">IF(ISNUMBER($AP5),IF($E5="USD",$AP5,$AP5/VLOOKUP($E5&amp;"=X",$B$24:$C$25,2,0)),"n.a.")</f>
        <v>120.06699999999999</v>
      </c>
      <c r="AR5" s="128">
        <f>Raw_Data!J357</f>
        <v>-6.0419999999999998</v>
      </c>
      <c r="AS5" s="127">
        <f t="shared" ref="AS5:AS10" si="13">IF(ISNUMBER($AR5),IF($E5="USD",$AR5,$AR5/VLOOKUP($E5&amp;"=X",$B$24:$C$25,2,0)),"n.a.")</f>
        <v>-6.0419999999999998</v>
      </c>
      <c r="AT5" s="128">
        <f>Raw_Data!K357</f>
        <v>96.676000000000002</v>
      </c>
      <c r="AU5" s="127">
        <f t="shared" ref="AU5:AU10" si="14">IF(ISNUMBER($AT5),IF($E5="USD",$AT5,$AT5/VLOOKUP($E5&amp;"=X",$B$24:$C$25,2,0)),"n.a.")</f>
        <v>96.676000000000002</v>
      </c>
      <c r="AV5" s="130">
        <f t="shared" ref="AV5:AV10" si="15">IFERROR(IF(N($AN5)&lt;=0,"n.a.",$L5/$AN5),"n.a.")</f>
        <v>-0.17428507092997073</v>
      </c>
      <c r="AW5" s="135">
        <f>Raw_Data!H357</f>
        <v>0.76339999999999997</v>
      </c>
    </row>
    <row r="6" spans="1:49" ht="60" customHeight="1" x14ac:dyDescent="0.15">
      <c r="A6" s="139" t="str">
        <f>Raw_Data!B163</f>
        <v>Broadcom Inc.</v>
      </c>
      <c r="B6" s="140" t="str">
        <f>Raw_Data!C163</f>
        <v>AVGO</v>
      </c>
      <c r="C6" s="140" t="str">
        <f>Raw_Data!D163</f>
        <v>NasdaqGS</v>
      </c>
      <c r="D6" s="140" t="str">
        <f>Raw_Data!D349</f>
        <v>Ordinary</v>
      </c>
      <c r="E6" s="140" t="str">
        <f>Raw_Data!E163</f>
        <v>USD</v>
      </c>
      <c r="F6" s="141" t="str">
        <f>Raw_Data!F163</f>
        <v>Oct/Nov (Sun nearest Oct 31)</v>
      </c>
      <c r="G6" s="141" t="str">
        <f>Raw_Data!G163</f>
        <v>3Q26 (Aug-26)</v>
      </c>
      <c r="H6" s="142" t="str">
        <f>Raw_Data!H163</f>
        <v>Fabless semiconductors (networking/broadband/wireless + custom AI accelerators) and infrastructure software (VMware) [D 10-K FY2025]</v>
      </c>
      <c r="I6" s="143">
        <f>Raw_Data!I163</f>
        <v>360.14</v>
      </c>
      <c r="J6" s="143">
        <f>Raw_Data!K163</f>
        <v>1719.231374</v>
      </c>
      <c r="K6" s="144">
        <f t="shared" si="0"/>
        <v>1719.231374</v>
      </c>
      <c r="L6" s="143">
        <f>Raw_Data!L163</f>
        <v>35.444000000000003</v>
      </c>
      <c r="M6" s="143">
        <f>Raw_Data!M163</f>
        <v>99.69</v>
      </c>
      <c r="N6" s="144">
        <f t="shared" si="1"/>
        <v>1754.6753739999999</v>
      </c>
      <c r="O6" s="145">
        <f>Raw_Data!P163</f>
        <v>10.37</v>
      </c>
      <c r="P6" s="143">
        <f>Raw_Data!Q163</f>
        <v>17.440000000000001</v>
      </c>
      <c r="Q6" s="143">
        <f>Raw_Data!E349</f>
        <v>15.59</v>
      </c>
      <c r="R6" s="146">
        <f t="shared" si="2"/>
        <v>23.100705580500321</v>
      </c>
      <c r="S6" s="147">
        <f t="shared" si="3"/>
        <v>34.729026036644164</v>
      </c>
      <c r="T6" s="147">
        <f t="shared" si="4"/>
        <v>20.650229357798164</v>
      </c>
      <c r="U6" s="148">
        <f>Raw_Data!F349</f>
        <v>74.34</v>
      </c>
      <c r="V6" s="149" t="s">
        <v>247</v>
      </c>
      <c r="W6" s="147">
        <f>IFERROR(IF(N($AN6)&lt;=0,"n.a.",$N6/$AN6),"n.a.")</f>
        <v>51.426593610785467</v>
      </c>
      <c r="X6" s="147">
        <f t="shared" si="5"/>
        <v>17.245775644497943</v>
      </c>
      <c r="Y6" s="147">
        <f t="shared" si="6"/>
        <v>0.50939179632248921</v>
      </c>
      <c r="Z6" s="150">
        <f>Raw_Data!R163</f>
        <v>0.67769999999999997</v>
      </c>
      <c r="AA6" s="151">
        <f>Raw_Data!G349</f>
        <v>0.39889999999999998</v>
      </c>
      <c r="AB6" s="152">
        <f t="shared" si="7"/>
        <v>0.53406796374849341</v>
      </c>
      <c r="AC6" s="134">
        <f>Raw_Data!L349</f>
        <v>0.65869999999999995</v>
      </c>
      <c r="AD6" s="151">
        <f>Raw_Data!S163</f>
        <v>0.85499999999999998</v>
      </c>
      <c r="AE6" s="152">
        <f t="shared" si="8"/>
        <v>0.68177434908389611</v>
      </c>
      <c r="AF6" s="153" t="str">
        <f>Raw_Data!M349</f>
        <v>Semiconductor solutions (networking/broadband/wireless + custom AI accelerators) / infrastructure software (VMware)</v>
      </c>
      <c r="AG6" s="142" t="str">
        <f>Raw_Data!N349</f>
        <v>Custom AI accelerators (XPUs) + AI networking for hyperscalers</v>
      </c>
      <c r="AH6" s="142" t="str">
        <f>Raw_Data!O349</f>
        <v>AI semiconductors ≈ $20bn FY2025 ≈ ~31% of revenue ($63.9bn); XPUs + AI networking are the DC vector</v>
      </c>
      <c r="AI6" s="142" t="str">
        <f>Raw_Data!P349</f>
        <v>Buyer/specifier — HBM3E/HBM4 stacks co-designed onto custom XPUs; DDR buffers on networking gear</v>
      </c>
      <c r="AJ6" s="145">
        <f>Raw_Data!N163</f>
        <v>63.887</v>
      </c>
      <c r="AK6" s="144">
        <f t="shared" si="9"/>
        <v>63.887</v>
      </c>
      <c r="AL6" s="154">
        <f>Raw_Data!S349</f>
        <v>105.97</v>
      </c>
      <c r="AM6" s="144">
        <f t="shared" si="10"/>
        <v>105.97</v>
      </c>
      <c r="AN6" s="143">
        <f>Raw_Data!O163</f>
        <v>34.119999999999997</v>
      </c>
      <c r="AO6" s="144">
        <f t="shared" si="11"/>
        <v>34.119999999999997</v>
      </c>
      <c r="AP6" s="143">
        <f>Raw_Data!I349</f>
        <v>23.126000000000001</v>
      </c>
      <c r="AQ6" s="144">
        <f t="shared" si="12"/>
        <v>23.126000000000001</v>
      </c>
      <c r="AR6" s="143">
        <f>Raw_Data!J349</f>
        <v>-0.623</v>
      </c>
      <c r="AS6" s="144">
        <f t="shared" si="13"/>
        <v>-0.623</v>
      </c>
      <c r="AT6" s="143">
        <f>Raw_Data!K349</f>
        <v>26.914000000000001</v>
      </c>
      <c r="AU6" s="144">
        <f t="shared" si="14"/>
        <v>26.914000000000001</v>
      </c>
      <c r="AV6" s="146">
        <f t="shared" si="15"/>
        <v>1.0388042203985934</v>
      </c>
      <c r="AW6" s="151">
        <f>Raw_Data!H349</f>
        <v>0.28449999999999998</v>
      </c>
    </row>
    <row r="7" spans="1:49" ht="45" customHeight="1" x14ac:dyDescent="0.15">
      <c r="A7" s="139" t="str">
        <f>Raw_Data!B164</f>
        <v>Advanced Micro Devices, Inc.</v>
      </c>
      <c r="B7" s="140" t="str">
        <f>Raw_Data!C164</f>
        <v>AMD</v>
      </c>
      <c r="C7" s="140" t="str">
        <f>Raw_Data!D164</f>
        <v>NasdaqGS</v>
      </c>
      <c r="D7" s="140" t="str">
        <f>Raw_Data!D350</f>
        <v>Ordinary</v>
      </c>
      <c r="E7" s="140" t="str">
        <f>Raw_Data!E164</f>
        <v>USD</v>
      </c>
      <c r="F7" s="141" t="str">
        <f>Raw_Data!F164</f>
        <v>Dec (last Sat)</v>
      </c>
      <c r="G7" s="141" t="str">
        <f>Raw_Data!G164</f>
        <v>2Q26 (Jun-26)</v>
      </c>
      <c r="H7" s="142" t="str">
        <f>Raw_Data!H164</f>
        <v>Fabless CPU/GPU designer (EPYC/Ryzen CPUs; Instinct MI-series AI accelerators, Radeon); segments: Data Center / Client &amp; Gaming / Embedded [D 10-K FY2025]</v>
      </c>
      <c r="I7" s="143">
        <f>Raw_Data!I164</f>
        <v>620.67999999999995</v>
      </c>
      <c r="J7" s="143">
        <f>Raw_Data!K164</f>
        <v>1014.083127</v>
      </c>
      <c r="K7" s="144">
        <f t="shared" si="0"/>
        <v>1014.083127</v>
      </c>
      <c r="L7" s="143">
        <f>Raw_Data!L164</f>
        <v>-9.8849999999999998</v>
      </c>
      <c r="M7" s="143">
        <f>Raw_Data!M164</f>
        <v>67.224000000000004</v>
      </c>
      <c r="N7" s="144">
        <f t="shared" si="1"/>
        <v>1004.198127</v>
      </c>
      <c r="O7" s="145">
        <f>Raw_Data!P164</f>
        <v>6.43</v>
      </c>
      <c r="P7" s="143">
        <f>Raw_Data!Q164</f>
        <v>13.65</v>
      </c>
      <c r="Q7" s="143">
        <f>Raw_Data!E350</f>
        <v>9.4600000000000009</v>
      </c>
      <c r="R7" s="146">
        <f t="shared" si="2"/>
        <v>65.610993657505276</v>
      </c>
      <c r="S7" s="147">
        <f t="shared" si="3"/>
        <v>96.52877138413686</v>
      </c>
      <c r="T7" s="147">
        <f t="shared" si="4"/>
        <v>45.471062271062266</v>
      </c>
      <c r="U7" s="148">
        <f>Raw_Data!F350</f>
        <v>233.93</v>
      </c>
      <c r="V7" s="149" t="s">
        <v>247</v>
      </c>
      <c r="W7" s="147">
        <f>IFERROR(IF(N($AN7)&lt;=0,"n.a.",$N7/$AN7),"n.a.")</f>
        <v>149.92507121528814</v>
      </c>
      <c r="X7" s="147">
        <f t="shared" si="5"/>
        <v>15.085135174937522</v>
      </c>
      <c r="Y7" s="147">
        <f t="shared" si="6"/>
        <v>0.85966759002770066</v>
      </c>
      <c r="Z7" s="150">
        <f>Raw_Data!R164</f>
        <v>0.49519999999999997</v>
      </c>
      <c r="AA7" s="151">
        <f>Raw_Data!G350</f>
        <v>0.1066</v>
      </c>
      <c r="AB7" s="152">
        <f t="shared" si="7"/>
        <v>0.19336585929154998</v>
      </c>
      <c r="AC7" s="134">
        <f>Raw_Data!L350</f>
        <v>0.47089999999999999</v>
      </c>
      <c r="AD7" s="151">
        <f>Raw_Data!S164</f>
        <v>0.50109999999999999</v>
      </c>
      <c r="AE7" s="152">
        <f t="shared" si="8"/>
        <v>1.1228615863141527</v>
      </c>
      <c r="AF7" s="153" t="str">
        <f>Raw_Data!M350</f>
        <v>Data Center / Client &amp; Gaming / Embedded</v>
      </c>
      <c r="AG7" s="142" t="str">
        <f>Raw_Data!N350</f>
        <v>n.a. — merchant GPUs (MI-series), not custom ASIC</v>
      </c>
      <c r="AH7" s="142" t="str">
        <f>Raw_Data!O350</f>
        <v>Data Center segment 16.635 / 34.639 = 48.0% of FY2025 revenue</v>
      </c>
      <c r="AI7" s="142" t="str">
        <f>Raw_Data!P350</f>
        <v>Buyer — HBM3E/HBM4 for Instinct MI-series accelerators; GDDR on client GPUs</v>
      </c>
      <c r="AJ7" s="145">
        <f>Raw_Data!N164</f>
        <v>34.639000000000003</v>
      </c>
      <c r="AK7" s="144">
        <f t="shared" si="9"/>
        <v>34.639000000000003</v>
      </c>
      <c r="AL7" s="154">
        <f>Raw_Data!S350</f>
        <v>50.95</v>
      </c>
      <c r="AM7" s="144">
        <f t="shared" si="10"/>
        <v>50.95</v>
      </c>
      <c r="AN7" s="143">
        <f>Raw_Data!O164</f>
        <v>6.6980000000000004</v>
      </c>
      <c r="AO7" s="144">
        <f t="shared" si="11"/>
        <v>6.6980000000000004</v>
      </c>
      <c r="AP7" s="143">
        <f>Raw_Data!I350</f>
        <v>4.335</v>
      </c>
      <c r="AQ7" s="144">
        <f t="shared" si="12"/>
        <v>4.335</v>
      </c>
      <c r="AR7" s="143">
        <f>Raw_Data!J350</f>
        <v>-0.97399999999999998</v>
      </c>
      <c r="AS7" s="144">
        <f t="shared" si="13"/>
        <v>-0.97399999999999998</v>
      </c>
      <c r="AT7" s="143">
        <f>Raw_Data!K350</f>
        <v>6.7350000000000003</v>
      </c>
      <c r="AU7" s="144">
        <f t="shared" si="14"/>
        <v>6.7350000000000003</v>
      </c>
      <c r="AV7" s="146">
        <f t="shared" si="15"/>
        <v>-1.4758136757240967</v>
      </c>
      <c r="AW7" s="151">
        <f>Raw_Data!H350</f>
        <v>6.88E-2</v>
      </c>
    </row>
    <row r="8" spans="1:49" ht="45" customHeight="1" x14ac:dyDescent="0.15">
      <c r="A8" s="139" t="str">
        <f>Raw_Data!B165</f>
        <v>Intel Corporation</v>
      </c>
      <c r="B8" s="140" t="str">
        <f>Raw_Data!C165</f>
        <v>INTC</v>
      </c>
      <c r="C8" s="140" t="str">
        <f>Raw_Data!D165</f>
        <v>NasdaqGS</v>
      </c>
      <c r="D8" s="140" t="str">
        <f>Raw_Data!D351</f>
        <v>Ordinary</v>
      </c>
      <c r="E8" s="140" t="str">
        <f>Raw_Data!E165</f>
        <v>USD</v>
      </c>
      <c r="F8" s="141" t="str">
        <f>Raw_Data!F165</f>
        <v>Dec (last Sat)</v>
      </c>
      <c r="G8" s="141" t="str">
        <f>Raw_Data!G165</f>
        <v>2Q26 (Jun-26)</v>
      </c>
      <c r="H8" s="142" t="str">
        <f>Raw_Data!H165</f>
        <v>IDM: x86 CPUs (CCG), data-center/AI (DCAI), wafer foundry (Intel Foundry, largely intersegment revenue) [D 10-K FY2025]</v>
      </c>
      <c r="I8" s="143">
        <f>Raw_Data!I165</f>
        <v>107.08</v>
      </c>
      <c r="J8" s="143">
        <f>Raw_Data!K165</f>
        <v>566.17425000000003</v>
      </c>
      <c r="K8" s="144">
        <f t="shared" si="0"/>
        <v>566.17425000000003</v>
      </c>
      <c r="L8" s="143">
        <f>Raw_Data!L165</f>
        <v>20.81</v>
      </c>
      <c r="M8" s="143">
        <f>Raw_Data!M165</f>
        <v>87.542000000000002</v>
      </c>
      <c r="N8" s="144">
        <f t="shared" si="1"/>
        <v>586.98424999999997</v>
      </c>
      <c r="O8" s="145">
        <f>Raw_Data!P165</f>
        <v>1.04</v>
      </c>
      <c r="P8" s="143">
        <f>Raw_Data!Q165</f>
        <v>1.44</v>
      </c>
      <c r="Q8" s="143">
        <f>Raw_Data!E351</f>
        <v>1.1299999999999999</v>
      </c>
      <c r="R8" s="146">
        <f t="shared" si="2"/>
        <v>94.761061946902657</v>
      </c>
      <c r="S8" s="147">
        <f t="shared" si="3"/>
        <v>102.96153846153845</v>
      </c>
      <c r="T8" s="147">
        <f t="shared" si="4"/>
        <v>74.361111111111114</v>
      </c>
      <c r="U8" s="148" t="str">
        <f>Raw_Data!F351</f>
        <v>n.a.</v>
      </c>
      <c r="V8" s="149" t="s">
        <v>247</v>
      </c>
      <c r="W8" s="147">
        <f>IFERROR(IF(N($AN8)&lt;=0,"n.a.",$N8/$AN8),"n.a.")</f>
        <v>61.839891487568472</v>
      </c>
      <c r="X8" s="147">
        <f t="shared" si="5"/>
        <v>6.4674584770738619</v>
      </c>
      <c r="Y8" s="147">
        <f t="shared" si="6"/>
        <v>2.677</v>
      </c>
      <c r="Z8" s="150">
        <f>Raw_Data!R165</f>
        <v>0.34770000000000001</v>
      </c>
      <c r="AA8" s="151">
        <f>Raw_Data!G351</f>
        <v>-4.19E-2</v>
      </c>
      <c r="AB8" s="152">
        <f t="shared" si="7"/>
        <v>0.17959245454373451</v>
      </c>
      <c r="AC8" s="134">
        <f>Raw_Data!L351</f>
        <v>0.19389999999999999</v>
      </c>
      <c r="AD8" s="151">
        <f>Raw_Data!S165</f>
        <v>0.25419999999999998</v>
      </c>
      <c r="AE8" s="152">
        <f t="shared" si="8"/>
        <v>0.38461538461538458</v>
      </c>
      <c r="AF8" s="153" t="str">
        <f>Raw_Data!M351</f>
        <v>CCG / DCAI / Intel Foundry (largely intersegment revenue)</v>
      </c>
      <c r="AG8" s="142" t="str">
        <f>Raw_Data!N351</f>
        <v>Gaudi AI accelerators (merchant, small share) + Intel Foundry for third-party silicon; no hyperscaler custom-XPU franchise</v>
      </c>
      <c r="AH8" s="142" t="str">
        <f>Raw_Data!O351</f>
        <v>DCAI segment 16.919 / 52.853 = 32.0% of FY2025 revenue</v>
      </c>
      <c r="AI8" s="142" t="str">
        <f>Raw_Data!P351</f>
        <v>Buyer — HBM for Gaudi accelerators; DDR on Xeon</v>
      </c>
      <c r="AJ8" s="145">
        <f>Raw_Data!N165</f>
        <v>52.853000000000002</v>
      </c>
      <c r="AK8" s="144">
        <f t="shared" si="9"/>
        <v>52.853000000000002</v>
      </c>
      <c r="AL8" s="154">
        <f>Raw_Data!S351</f>
        <v>63.1</v>
      </c>
      <c r="AM8" s="144">
        <f t="shared" si="10"/>
        <v>63.1</v>
      </c>
      <c r="AN8" s="143">
        <f>Raw_Data!O165</f>
        <v>9.4920000000000009</v>
      </c>
      <c r="AO8" s="144">
        <f t="shared" si="11"/>
        <v>9.4920000000000009</v>
      </c>
      <c r="AP8" s="143">
        <f>Raw_Data!I351</f>
        <v>-0.26700000000000002</v>
      </c>
      <c r="AQ8" s="144">
        <f t="shared" si="12"/>
        <v>-0.26700000000000002</v>
      </c>
      <c r="AR8" s="143">
        <f>Raw_Data!J351</f>
        <v>-14.646000000000001</v>
      </c>
      <c r="AS8" s="144">
        <f t="shared" si="13"/>
        <v>-14.646000000000001</v>
      </c>
      <c r="AT8" s="143">
        <f>Raw_Data!K351</f>
        <v>-4.9489999999999998</v>
      </c>
      <c r="AU8" s="144">
        <f t="shared" si="14"/>
        <v>-4.9489999999999998</v>
      </c>
      <c r="AV8" s="146">
        <f t="shared" si="15"/>
        <v>2.1923725242309309</v>
      </c>
      <c r="AW8" s="151">
        <f>Raw_Data!H351</f>
        <v>-2.3E-3</v>
      </c>
    </row>
    <row r="9" spans="1:49" ht="45" customHeight="1" x14ac:dyDescent="0.15">
      <c r="A9" s="139" t="str">
        <f>Raw_Data!B166</f>
        <v>Marvell Technology, Inc.</v>
      </c>
      <c r="B9" s="140" t="str">
        <f>Raw_Data!C166</f>
        <v>MRVL</v>
      </c>
      <c r="C9" s="140" t="str">
        <f>Raw_Data!D166</f>
        <v>NasdaqGS</v>
      </c>
      <c r="D9" s="140" t="str">
        <f>Raw_Data!D352</f>
        <v>Ordinary</v>
      </c>
      <c r="E9" s="140" t="str">
        <f>Raw_Data!E166</f>
        <v>USD</v>
      </c>
      <c r="F9" s="141" t="str">
        <f>Raw_Data!F166</f>
        <v>Jan/Feb (Sat nearest Jan 31)</v>
      </c>
      <c r="G9" s="141" t="str">
        <f>Raw_Data!G166</f>
        <v>2Q27 (Aug-26)</v>
      </c>
      <c r="H9" s="142" t="str">
        <f>Raw_Data!H166</f>
        <v>Fabless mixed-signal/connectivity silicon and custom data-center ASICs; single reportable segment; end markets: data center / communications &amp; other [D 10-K FY2026]</v>
      </c>
      <c r="I9" s="143">
        <f>Raw_Data!I166</f>
        <v>274.66000000000003</v>
      </c>
      <c r="J9" s="143">
        <f>Raw_Data!K166</f>
        <v>240.87816900000001</v>
      </c>
      <c r="K9" s="144">
        <f t="shared" si="0"/>
        <v>240.87816900000001</v>
      </c>
      <c r="L9" s="143">
        <f>Raw_Data!L166</f>
        <v>1.03</v>
      </c>
      <c r="M9" s="143">
        <f>Raw_Data!M166</f>
        <v>18.531600000000001</v>
      </c>
      <c r="N9" s="144">
        <f t="shared" si="1"/>
        <v>241.90816900000002</v>
      </c>
      <c r="O9" s="145">
        <f>Raw_Data!P166</f>
        <v>3.05</v>
      </c>
      <c r="P9" s="143">
        <f>Raw_Data!Q166</f>
        <v>5.5</v>
      </c>
      <c r="Q9" s="143">
        <f>Raw_Data!E352</f>
        <v>4.3</v>
      </c>
      <c r="R9" s="146">
        <f t="shared" si="2"/>
        <v>63.874418604651169</v>
      </c>
      <c r="S9" s="147">
        <f t="shared" si="3"/>
        <v>90.052459016393456</v>
      </c>
      <c r="T9" s="147">
        <f t="shared" si="4"/>
        <v>49.938181818181825</v>
      </c>
      <c r="U9" s="148">
        <f>Raw_Data!F352</f>
        <v>90.21</v>
      </c>
      <c r="V9" s="149" t="s">
        <v>247</v>
      </c>
      <c r="W9" s="147">
        <f>IFERROR(IF(N($AN9)&lt;=0,"n.a.",$N9/$AN9),"n.a.")</f>
        <v>92.560998278171041</v>
      </c>
      <c r="X9" s="147">
        <f t="shared" si="5"/>
        <v>12.998239169850418</v>
      </c>
      <c r="Y9" s="147">
        <f t="shared" si="6"/>
        <v>1.1210612244897959</v>
      </c>
      <c r="Z9" s="150">
        <f>Raw_Data!R166</f>
        <v>0.51019999999999999</v>
      </c>
      <c r="AA9" s="151">
        <f>Raw_Data!G352</f>
        <v>0.16139999999999999</v>
      </c>
      <c r="AB9" s="152">
        <f t="shared" si="7"/>
        <v>0.31892953896468412</v>
      </c>
      <c r="AC9" s="134">
        <f>Raw_Data!L352</f>
        <v>0.47289999999999999</v>
      </c>
      <c r="AD9" s="151">
        <f>Raw_Data!S166</f>
        <v>0.36549999999999999</v>
      </c>
      <c r="AE9" s="152">
        <f t="shared" si="8"/>
        <v>0.80327868852459017</v>
      </c>
      <c r="AF9" s="153" t="str">
        <f>Raw_Data!M352</f>
        <v>Single reportable segment; end markets: data center / communications &amp; other</v>
      </c>
      <c r="AG9" s="142" t="str">
        <f>Raw_Data!N352</f>
        <v>Custom data-center ASICs (XPUs for hyperscalers)</v>
      </c>
      <c r="AH9" s="142" t="str">
        <f>Raw_Data!O352</f>
        <v>n.a. — single segment; end-market split not in the captured evidence</v>
      </c>
      <c r="AI9" s="142" t="str">
        <f>Raw_Data!P352</f>
        <v>Buyer/specifier — HBM co-designed onto custom XPUs for hyperscalers</v>
      </c>
      <c r="AJ9" s="145">
        <f>Raw_Data!N166</f>
        <v>8.1945999999999994</v>
      </c>
      <c r="AK9" s="144">
        <f t="shared" si="9"/>
        <v>8.1945999999999994</v>
      </c>
      <c r="AL9" s="154">
        <f>Raw_Data!S352</f>
        <v>12.07</v>
      </c>
      <c r="AM9" s="144">
        <f t="shared" si="10"/>
        <v>12.07</v>
      </c>
      <c r="AN9" s="143">
        <f>Raw_Data!O166</f>
        <v>2.6135000000000002</v>
      </c>
      <c r="AO9" s="144">
        <f t="shared" si="11"/>
        <v>2.6135000000000002</v>
      </c>
      <c r="AP9" s="143">
        <f>Raw_Data!I352</f>
        <v>2.6701000000000001</v>
      </c>
      <c r="AQ9" s="144">
        <f t="shared" si="12"/>
        <v>2.6701000000000001</v>
      </c>
      <c r="AR9" s="143">
        <f>Raw_Data!J352</f>
        <v>-0.35410000000000003</v>
      </c>
      <c r="AS9" s="144">
        <f t="shared" si="13"/>
        <v>-0.35410000000000003</v>
      </c>
      <c r="AT9" s="143">
        <f>Raw_Data!K352</f>
        <v>1.3964000000000001</v>
      </c>
      <c r="AU9" s="144">
        <f t="shared" si="14"/>
        <v>1.3964000000000001</v>
      </c>
      <c r="AV9" s="146">
        <f t="shared" si="15"/>
        <v>0.39410751865314708</v>
      </c>
      <c r="AW9" s="151">
        <f>Raw_Data!H352</f>
        <v>0.18659999999999999</v>
      </c>
    </row>
    <row r="10" spans="1:49" ht="45" customHeight="1" x14ac:dyDescent="0.15">
      <c r="A10" s="155" t="str">
        <f>Raw_Data!B167</f>
        <v>QUALCOMM Incorporated</v>
      </c>
      <c r="B10" s="156" t="str">
        <f>Raw_Data!C167</f>
        <v>QCOM</v>
      </c>
      <c r="C10" s="156" t="str">
        <f>Raw_Data!D167</f>
        <v>NasdaqGS</v>
      </c>
      <c r="D10" s="156" t="str">
        <f>Raw_Data!D353</f>
        <v>Ordinary</v>
      </c>
      <c r="E10" s="156" t="str">
        <f>Raw_Data!E167</f>
        <v>USD</v>
      </c>
      <c r="F10" s="157" t="str">
        <f>Raw_Data!F167</f>
        <v>Sep (last Sun)</v>
      </c>
      <c r="G10" s="157" t="str">
        <f>Raw_Data!G167</f>
        <v>3Q26 (Jun-26)</v>
      </c>
      <c r="H10" s="158" t="str">
        <f>Raw_Data!H167</f>
        <v>Fabless SoCs/modems (Snapdragon) and patent licensing; segments: QCT (handsets/auto/IoT) / QTL (licensing); on-device &amp; edge AI, no AI-DC exposure [D 10-K FY2025]</v>
      </c>
      <c r="I10" s="159">
        <f>Raw_Data!I167</f>
        <v>176.01</v>
      </c>
      <c r="J10" s="159">
        <f>Raw_Data!K167</f>
        <v>184.85167300000001</v>
      </c>
      <c r="K10" s="160">
        <f t="shared" si="0"/>
        <v>184.85167300000001</v>
      </c>
      <c r="L10" s="159">
        <f>Raw_Data!L167</f>
        <v>6.9660000000000002</v>
      </c>
      <c r="M10" s="159">
        <f>Raw_Data!M167</f>
        <v>27.658000000000001</v>
      </c>
      <c r="N10" s="160">
        <f t="shared" si="1"/>
        <v>191.81767300000001</v>
      </c>
      <c r="O10" s="161">
        <f>Raw_Data!P167</f>
        <v>7.74</v>
      </c>
      <c r="P10" s="159">
        <f>Raw_Data!Q167</f>
        <v>7.17</v>
      </c>
      <c r="Q10" s="159">
        <f>Raw_Data!E353</f>
        <v>6.63</v>
      </c>
      <c r="R10" s="162">
        <f t="shared" si="2"/>
        <v>26.547511312217193</v>
      </c>
      <c r="S10" s="163">
        <f t="shared" si="3"/>
        <v>22.740310077519378</v>
      </c>
      <c r="T10" s="163">
        <f t="shared" si="4"/>
        <v>24.548117154811713</v>
      </c>
      <c r="U10" s="164">
        <f>Raw_Data!F353</f>
        <v>33.36</v>
      </c>
      <c r="V10" s="165" t="s">
        <v>247</v>
      </c>
      <c r="W10" s="163">
        <f>IFERROR(IF(N($AN10)&lt;=0,"n.a.",$N10/$AN10),"n.a.")</f>
        <v>13.43449173553719</v>
      </c>
      <c r="X10" s="163">
        <f t="shared" si="5"/>
        <v>6.683479391134572</v>
      </c>
      <c r="Y10" s="163" t="str">
        <f t="shared" si="6"/>
        <v>n.a.</v>
      </c>
      <c r="Z10" s="166">
        <f>Raw_Data!R167</f>
        <v>0.5544</v>
      </c>
      <c r="AA10" s="167">
        <f>Raw_Data!G353</f>
        <v>0.27900000000000003</v>
      </c>
      <c r="AB10" s="168">
        <f t="shared" si="7"/>
        <v>0.32241893234576824</v>
      </c>
      <c r="AC10" s="134">
        <f>Raw_Data!L353</f>
        <v>-3.1699999999999999E-2</v>
      </c>
      <c r="AD10" s="167">
        <f>Raw_Data!S167</f>
        <v>-4.0300000000000002E-2</v>
      </c>
      <c r="AE10" s="168">
        <f t="shared" si="8"/>
        <v>-7.3643410852713198E-2</v>
      </c>
      <c r="AF10" s="169" t="str">
        <f>Raw_Data!M353</f>
        <v>QCT (handsets/auto/IoT) / QTL (licensing)</v>
      </c>
      <c r="AG10" s="158" t="str">
        <f>Raw_Data!N353</f>
        <v>Emerging hyperscaler-XPU supplier — merchant SoCs (Snapdragon); DC vector = Cloud AI inference cards (AI200/AI250) + custom AI silicon for AWS (multi-generation deal, Sep-2026) + edge/on-device AI</v>
      </c>
      <c r="AH10" s="158" t="str">
        <f>Raw_Data!O353</f>
        <v>AIDC optionality — AI200/AI250 data-center inference chips (announced Oct-2025; launch customer HUMAIN (KSA), 200MW deployment ramping from 2026; $1B+ MoU); Sep-2026 multi-generation custom AI-silicon + optical-interconnect deal with AWS; revenue contribution from 2H2026; FY26 guide first includes a small AI data-center contribution; NVLink Fusion custom-CPU ecosystem partner. Current revenue = handsets + auto + IoT</v>
      </c>
      <c r="AI10" s="158" t="str">
        <f>Raw_Data!P353</f>
        <v>Buyer — LPDDR5X on Snapdragon (on-device AI); no HBM/data-center exposure</v>
      </c>
      <c r="AJ10" s="161">
        <f>Raw_Data!N167</f>
        <v>44.283999999999999</v>
      </c>
      <c r="AK10" s="160">
        <f t="shared" si="9"/>
        <v>44.283999999999999</v>
      </c>
      <c r="AL10" s="170">
        <f>Raw_Data!S353</f>
        <v>42.88</v>
      </c>
      <c r="AM10" s="160">
        <f t="shared" si="10"/>
        <v>42.88</v>
      </c>
      <c r="AN10" s="159">
        <f>Raw_Data!O167</f>
        <v>14.278</v>
      </c>
      <c r="AO10" s="160">
        <f t="shared" si="11"/>
        <v>14.278</v>
      </c>
      <c r="AP10" s="159">
        <f>Raw_Data!I353</f>
        <v>5.5410000000000004</v>
      </c>
      <c r="AQ10" s="160">
        <f t="shared" si="12"/>
        <v>5.5410000000000004</v>
      </c>
      <c r="AR10" s="159">
        <f>Raw_Data!J353</f>
        <v>-1.1919999999999999</v>
      </c>
      <c r="AS10" s="160">
        <f t="shared" si="13"/>
        <v>-1.1919999999999999</v>
      </c>
      <c r="AT10" s="159">
        <f>Raw_Data!K353</f>
        <v>12.82</v>
      </c>
      <c r="AU10" s="160">
        <f t="shared" si="14"/>
        <v>12.82</v>
      </c>
      <c r="AV10" s="162">
        <f t="shared" si="15"/>
        <v>0.48788345706681607</v>
      </c>
      <c r="AW10" s="167">
        <f>Raw_Data!H353</f>
        <v>0.26129999999999998</v>
      </c>
    </row>
    <row r="11" spans="1:49" ht="13.5" customHeight="1" x14ac:dyDescent="0.15">
      <c r="A11" s="171" t="s">
        <v>526</v>
      </c>
      <c r="K11" s="172">
        <f>IFERROR(IF(COUNT(K6,K7,K8,K9,K10)=0,"n.a.",AVERAGE(K6,K7,K8,K9,K10)),"n.a.")</f>
        <v>745.04371860000003</v>
      </c>
      <c r="N11" s="172">
        <f>IFERROR(IF(COUNT(N6,N7,N8,N9,N10)=0,"n.a.",AVERAGE(N6,N7,N8,N9,N10)),"n.a.")</f>
        <v>755.91671859999997</v>
      </c>
      <c r="O11" s="173"/>
      <c r="R11" s="174">
        <f t="shared" ref="R11:AE11" si="16">IFERROR(IF(COUNT(R6,R7,R8,R9,R10)=0,"n.a.",AVERAGE(R6,R7,R8,R9,R10)),"n.a.")</f>
        <v>54.778938220355329</v>
      </c>
      <c r="S11" s="175">
        <f t="shared" si="16"/>
        <v>69.402420995246459</v>
      </c>
      <c r="T11" s="175">
        <f t="shared" si="16"/>
        <v>42.993740342593014</v>
      </c>
      <c r="U11" s="175">
        <f t="shared" si="16"/>
        <v>107.96</v>
      </c>
      <c r="V11" s="175" t="str">
        <f t="shared" si="16"/>
        <v>n.a.</v>
      </c>
      <c r="W11" s="175">
        <f t="shared" si="16"/>
        <v>73.837409265470058</v>
      </c>
      <c r="X11" s="175">
        <f t="shared" si="16"/>
        <v>11.696017571498862</v>
      </c>
      <c r="Y11" s="175">
        <f t="shared" si="16"/>
        <v>1.2917801527099964</v>
      </c>
      <c r="Z11" s="176">
        <f t="shared" si="16"/>
        <v>0.51704000000000006</v>
      </c>
      <c r="AA11" s="177">
        <f t="shared" si="16"/>
        <v>0.18080000000000002</v>
      </c>
      <c r="AB11" s="177">
        <f t="shared" si="16"/>
        <v>0.30967494977884608</v>
      </c>
      <c r="AC11" s="176">
        <f t="shared" si="16"/>
        <v>0.35293999999999992</v>
      </c>
      <c r="AD11" s="177">
        <f t="shared" si="16"/>
        <v>0.3871</v>
      </c>
      <c r="AE11" s="177">
        <f t="shared" si="16"/>
        <v>0.58377731953706191</v>
      </c>
      <c r="AF11" s="173"/>
      <c r="AJ11" s="173"/>
      <c r="AK11" s="172">
        <f>IFERROR(IF(COUNT(AK6,AK7,AK8,AK9,AK10)=0,"n.a.",AVERAGE(AK6,AK7,AK8,AK9,AK10)),"n.a.")</f>
        <v>40.771520000000002</v>
      </c>
      <c r="AM11" s="172">
        <f>IFERROR(IF(COUNT(AM6,AM7,AM8,AM9,AM10)=0,"n.a.",AVERAGE(AM6,AM7,AM8,AM9,AM10)),"n.a.")</f>
        <v>54.994000000000007</v>
      </c>
      <c r="AO11" s="172">
        <f>IFERROR(IF(COUNT(AO6,AO7,AO8,AO9,AO10)=0,"n.a.",AVERAGE(AO6,AO7,AO8,AO9,AO10)),"n.a.")</f>
        <v>13.440300000000002</v>
      </c>
      <c r="AQ11" s="172">
        <f>IFERROR(IF(COUNT(AQ6,AQ7,AQ8,AQ9,AQ10)=0,"n.a.",AVERAGE(AQ6,AQ7,AQ8,AQ9,AQ10)),"n.a.")</f>
        <v>7.0810200000000005</v>
      </c>
      <c r="AS11" s="172">
        <f>IFERROR(IF(COUNT(AS6,AS7,AS8,AS9,AS10)=0,"n.a.",AVERAGE(AS6,AS7,AS8,AS9,AS10)),"n.a.")</f>
        <v>-3.5578200000000004</v>
      </c>
      <c r="AU11" s="172">
        <f>IFERROR(IF(COUNT(AU6,AU7,AU8,AU9,AU10)=0,"n.a.",AVERAGE(AU6,AU7,AU8,AU9,AU10)),"n.a.")</f>
        <v>8.5832800000000002</v>
      </c>
      <c r="AV11" s="174">
        <f>IFERROR(IF(COUNT(AV6,AV7,AV8,AV9,AV10)=0,"n.a.",AVERAGE(AV6,AV7,AV8,AV9,AV10)),"n.a.")</f>
        <v>0.52747080892507814</v>
      </c>
      <c r="AW11" s="177">
        <f>IFERROR(IF(COUNT(AW6,AW7,AW8,AW9,AW10)=0,"n.a.",AVERAGE(AW6,AW7,AW8,AW9,AW10)),"n.a.")</f>
        <v>0.15977999999999998</v>
      </c>
    </row>
    <row r="12" spans="1:49" ht="13.5" customHeight="1" x14ac:dyDescent="0.15">
      <c r="A12" s="171" t="s">
        <v>527</v>
      </c>
      <c r="I12" s="104"/>
      <c r="K12" s="172">
        <f>IFERROR(IF(COUNT(K6,K7,K8,K9,K10)=0,"n.a.",MEDIAN(K6,K7,K8,K9,K10)),"n.a.")</f>
        <v>566.17425000000003</v>
      </c>
      <c r="N12" s="172">
        <f>IFERROR(IF(COUNT(N6,N7,N8,N9,N10)=0,"n.a.",MEDIAN(N6,N7,N8,N9,N10)),"n.a.")</f>
        <v>586.98424999999997</v>
      </c>
      <c r="O12" s="173"/>
      <c r="R12" s="174">
        <f t="shared" ref="R12:AE12" si="17">IFERROR(IF(COUNT(R6,R7,R8,R9,R10)=0,"n.a.",MEDIAN(R6,R7,R8,R9,R10)),"n.a.")</f>
        <v>63.874418604651169</v>
      </c>
      <c r="S12" s="175">
        <f t="shared" si="17"/>
        <v>90.052459016393456</v>
      </c>
      <c r="T12" s="175">
        <f t="shared" si="17"/>
        <v>45.471062271062266</v>
      </c>
      <c r="U12" s="175">
        <f t="shared" si="17"/>
        <v>82.275000000000006</v>
      </c>
      <c r="V12" s="175" t="str">
        <f t="shared" si="17"/>
        <v>n.a.</v>
      </c>
      <c r="W12" s="175">
        <f t="shared" si="17"/>
        <v>61.839891487568472</v>
      </c>
      <c r="X12" s="175">
        <f t="shared" si="17"/>
        <v>12.998239169850418</v>
      </c>
      <c r="Y12" s="175">
        <f t="shared" si="17"/>
        <v>0.9903644072587483</v>
      </c>
      <c r="Z12" s="176">
        <f t="shared" si="17"/>
        <v>0.51019999999999999</v>
      </c>
      <c r="AA12" s="177">
        <f t="shared" si="17"/>
        <v>0.16139999999999999</v>
      </c>
      <c r="AB12" s="177">
        <f t="shared" si="17"/>
        <v>0.31892953896468412</v>
      </c>
      <c r="AC12" s="176">
        <f t="shared" si="17"/>
        <v>0.47089999999999999</v>
      </c>
      <c r="AD12" s="177">
        <f t="shared" si="17"/>
        <v>0.36549999999999999</v>
      </c>
      <c r="AE12" s="177">
        <f t="shared" si="17"/>
        <v>0.68177434908389611</v>
      </c>
      <c r="AF12" s="173"/>
      <c r="AJ12" s="173"/>
      <c r="AK12" s="172">
        <f>IFERROR(IF(COUNT(AK6,AK7,AK8,AK9,AK10)=0,"n.a.",MEDIAN(AK6,AK7,AK8,AK9,AK10)),"n.a.")</f>
        <v>44.283999999999999</v>
      </c>
      <c r="AM12" s="172">
        <f>IFERROR(IF(COUNT(AM6,AM7,AM8,AM9,AM10)=0,"n.a.",MEDIAN(AM6,AM7,AM8,AM9,AM10)),"n.a.")</f>
        <v>50.95</v>
      </c>
      <c r="AO12" s="172">
        <f>IFERROR(IF(COUNT(AO6,AO7,AO8,AO9,AO10)=0,"n.a.",MEDIAN(AO6,AO7,AO8,AO9,AO10)),"n.a.")</f>
        <v>9.4920000000000009</v>
      </c>
      <c r="AQ12" s="172">
        <f>IFERROR(IF(COUNT(AQ6,AQ7,AQ8,AQ9,AQ10)=0,"n.a.",MEDIAN(AQ6,AQ7,AQ8,AQ9,AQ10)),"n.a.")</f>
        <v>4.335</v>
      </c>
      <c r="AS12" s="172">
        <f>IFERROR(IF(COUNT(AS6,AS7,AS8,AS9,AS10)=0,"n.a.",MEDIAN(AS6,AS7,AS8,AS9,AS10)),"n.a.")</f>
        <v>-0.97399999999999998</v>
      </c>
      <c r="AU12" s="172">
        <f>IFERROR(IF(COUNT(AU6,AU7,AU8,AU9,AU10)=0,"n.a.",MEDIAN(AU6,AU7,AU8,AU9,AU10)),"n.a.")</f>
        <v>6.7350000000000003</v>
      </c>
      <c r="AV12" s="174">
        <f>IFERROR(IF(COUNT(AV6,AV7,AV8,AV9,AV10)=0,"n.a.",MEDIAN(AV6,AV7,AV8,AV9,AV10)),"n.a.")</f>
        <v>0.48788345706681607</v>
      </c>
      <c r="AW12" s="177">
        <f>IFERROR(IF(COUNT(AW6,AW7,AW8,AW9,AW10)=0,"n.a.",MEDIAN(AW6,AW7,AW8,AW9,AW10)),"n.a.")</f>
        <v>0.18659999999999999</v>
      </c>
    </row>
    <row r="13" spans="1:49" ht="13.5" customHeight="1" x14ac:dyDescent="0.15">
      <c r="O13" s="173"/>
      <c r="R13" s="173"/>
      <c r="Z13" s="173"/>
      <c r="AC13" s="173"/>
      <c r="AF13" s="173"/>
      <c r="AJ13" s="173"/>
      <c r="AV13" s="173"/>
    </row>
    <row r="14" spans="1:49" ht="13.5" customHeight="1" x14ac:dyDescent="0.15">
      <c r="A14" s="178" t="s">
        <v>528</v>
      </c>
      <c r="B14" s="114"/>
      <c r="C14" s="114"/>
      <c r="D14" s="114"/>
      <c r="E14" s="114"/>
      <c r="F14" s="114"/>
      <c r="G14" s="114"/>
      <c r="H14" s="114"/>
      <c r="I14" s="114"/>
      <c r="J14" s="114"/>
      <c r="K14" s="114"/>
      <c r="L14" s="114"/>
      <c r="M14" s="114"/>
      <c r="N14" s="114"/>
      <c r="O14" s="122"/>
      <c r="P14" s="114"/>
      <c r="Q14" s="114"/>
      <c r="R14" s="122"/>
      <c r="S14" s="114"/>
      <c r="T14" s="114"/>
      <c r="U14" s="114"/>
      <c r="V14" s="114"/>
      <c r="W14" s="114"/>
      <c r="X14" s="114"/>
      <c r="Y14" s="114"/>
      <c r="Z14" s="122"/>
      <c r="AA14" s="114"/>
      <c r="AB14" s="114"/>
      <c r="AC14" s="122"/>
      <c r="AD14" s="114"/>
      <c r="AE14" s="114"/>
      <c r="AF14" s="122"/>
      <c r="AG14" s="114"/>
      <c r="AH14" s="179"/>
      <c r="AI14" s="114"/>
      <c r="AJ14" s="122"/>
      <c r="AK14" s="114"/>
      <c r="AL14" s="114"/>
      <c r="AM14" s="114"/>
      <c r="AN14" s="114"/>
      <c r="AO14" s="114"/>
      <c r="AP14" s="114"/>
      <c r="AQ14" s="114"/>
      <c r="AR14" s="114"/>
      <c r="AS14" s="114"/>
      <c r="AT14" s="114"/>
      <c r="AU14" s="114"/>
      <c r="AV14" s="122"/>
      <c r="AW14" s="114"/>
    </row>
    <row r="15" spans="1:49" s="111" customFormat="1" ht="45" customHeight="1" x14ac:dyDescent="0.15">
      <c r="A15" s="142" t="str">
        <f>Raw_Data!B168</f>
        <v>Taiwan Semiconductor Manufacturing Co.</v>
      </c>
      <c r="B15" s="141" t="str">
        <f>Raw_Data!C168</f>
        <v>TSM</v>
      </c>
      <c r="C15" s="141" t="str">
        <f>Raw_Data!D168</f>
        <v>NYSE (ADS)</v>
      </c>
      <c r="D15" s="141" t="str">
        <f>Raw_Data!D354</f>
        <v>ADR</v>
      </c>
      <c r="E15" s="141" t="str">
        <f>Raw_Data!E168</f>
        <v>USD</v>
      </c>
      <c r="F15" s="141" t="str">
        <f>Raw_Data!F168</f>
        <v>Dec</v>
      </c>
      <c r="G15" s="141" t="str">
        <f>Raw_Data!G168</f>
        <v>2Q26 (Jun-26)</v>
      </c>
      <c r="H15" s="142" t="str">
        <f>Raw_Data!H168</f>
        <v>Pure-play foundry (leading-edge logic for AI/HPC and mobile); USD-reporter ADS (1 ADS = 5 ord) [D 20-F FY2025]</v>
      </c>
      <c r="I15" s="180">
        <f>Raw_Data!I168</f>
        <v>457.99</v>
      </c>
      <c r="J15" s="180">
        <f>Raw_Data!K168</f>
        <v>2373.207613</v>
      </c>
      <c r="K15" s="181">
        <f>IF(ISNUMBER($J15),IF($E15="USD",$J15,$J15/VLOOKUP($E15&amp;"=X",$B$24:$C$25,2,0)),"n.a.")</f>
        <v>2373.207613</v>
      </c>
      <c r="L15" s="180">
        <f>Raw_Data!L168</f>
        <v>-59.29</v>
      </c>
      <c r="M15" s="180">
        <f>Raw_Data!M168</f>
        <v>170.71</v>
      </c>
      <c r="N15" s="181">
        <f>IF(ISNUMBER($L15),IF($E15="USD",$K15+$L15,$K15+$L15/VLOOKUP($E15&amp;"=X",$B$24:$C$25,2,0)),"n.a.")</f>
        <v>2313.9176130000001</v>
      </c>
      <c r="O15" s="182">
        <f>Raw_Data!P168</f>
        <v>16.559999999999999</v>
      </c>
      <c r="P15" s="180">
        <f>Raw_Data!Q168</f>
        <v>21.33</v>
      </c>
      <c r="Q15" s="180">
        <f>Raw_Data!E354</f>
        <v>19.13</v>
      </c>
      <c r="R15" s="183">
        <f>IFERROR(IF(N($Q15)&lt;=0,"n.a.",$I15/$Q15),"n.a.")</f>
        <v>23.940930475692632</v>
      </c>
      <c r="S15" s="184">
        <f>IFERROR(IF(N($O15)&lt;=0,"n.a.",$I15/$O15),"n.a.")</f>
        <v>27.656400966183579</v>
      </c>
      <c r="T15" s="184">
        <f>IFERROR(IF(N($P15)&lt;=0,"n.a.",$I15/$P15),"n.a.")</f>
        <v>21.471636193155181</v>
      </c>
      <c r="U15" s="185">
        <f>Raw_Data!F354</f>
        <v>43.85</v>
      </c>
      <c r="V15" s="186" t="s">
        <v>247</v>
      </c>
      <c r="W15" s="184">
        <f>IFERROR(IF(N($AN15)&lt;=0,"n.a.",$N15/$AN15),"n.a.")</f>
        <v>27.660970260409695</v>
      </c>
      <c r="X15" s="184">
        <f>IFERROR(IF(N($M15)&lt;=0,"n.a.",$J15/$M15),"n.a.")</f>
        <v>13.901983556909379</v>
      </c>
      <c r="Y15" s="184">
        <f>IFERROR(IF(OR(N($O15)&lt;=0,N($P15)&lt;=0,($P15/$O15-1)&lt;=0),"n.a.",$S15/(($P15/$O15-1)*100)),"n.a.")</f>
        <v>0.96014675052410903</v>
      </c>
      <c r="Z15" s="187">
        <f>Raw_Data!R168</f>
        <v>0.59889999999999999</v>
      </c>
      <c r="AA15" s="188">
        <f>Raw_Data!G354</f>
        <v>0.50819999999999999</v>
      </c>
      <c r="AB15" s="189">
        <f>IF(OR(NOT(ISNUMBER($AN15)),NOT(ISNUMBER($AJ15)),$AJ15=0),"n.a.",$AN15/$AJ15)</f>
        <v>0.68893418489831038</v>
      </c>
      <c r="AC15" s="134">
        <f>Raw_Data!L354</f>
        <v>0.43080000000000002</v>
      </c>
      <c r="AD15" s="188" t="str">
        <f>Raw_Data!S168</f>
        <v>n.a.</v>
      </c>
      <c r="AE15" s="189">
        <f>IFERROR(IF(OR(N($O15)&lt;=0,N($P15)&lt;=0),"n.a.",$P15/$O15-1),"n.a.")</f>
        <v>0.28804347826086962</v>
      </c>
      <c r="AF15" s="153" t="str">
        <f>Raw_Data!M354</f>
        <v>Pure-play foundry (leading-edge logic for AI/HPC and mobile)</v>
      </c>
      <c r="AG15" s="142" t="str">
        <f>Raw_Data!N354</f>
        <v>Foundry for custom AI silicon — manufactures hyperscaler XPUs (TPU-class) on leading-edge + CoWoS; per-client capacity allocation not disclosed; HPC platform ≈ 58% of revenue (AI accelerators are the HPC vector)</v>
      </c>
      <c r="AH15" s="142" t="str">
        <f>Raw_Data!O354</f>
        <v>HPC platform ≈ 58% of revenue — AI accelerators are the HPC growth driver</v>
      </c>
      <c r="AI15" s="142" t="str">
        <f>Raw_Data!P354</f>
        <v>Supplier-side — CoWoS integrator pairing logic with HBM; not a memory buyer or maker</v>
      </c>
      <c r="AJ15" s="182">
        <f>Raw_Data!N168</f>
        <v>121.4235</v>
      </c>
      <c r="AK15" s="181">
        <f>IF(ISNUMBER($AJ15),IF($E15="USD",$AJ15,$AJ15/VLOOKUP($E15&amp;"=X",$B$24:$C$25,2,0)),"n.a.")</f>
        <v>121.4235</v>
      </c>
      <c r="AL15" s="190">
        <f>Raw_Data!S354</f>
        <v>173.73</v>
      </c>
      <c r="AM15" s="181">
        <f>IF(ISNUMBER($AL15),IF($E15="USD",$AL15,$AL15/VLOOKUP($E15&amp;"=X",$B$24:$C$25,2,0)),"n.a.")</f>
        <v>173.73</v>
      </c>
      <c r="AN15" s="180">
        <f>Raw_Data!O168</f>
        <v>83.652799999999999</v>
      </c>
      <c r="AO15" s="181">
        <f>IF(ISNUMBER($AN15),IF($E15="USD",$AN15,$AN15/VLOOKUP($E15&amp;"=X",$B$24:$C$25,2,0)),"n.a.")</f>
        <v>83.652799999999999</v>
      </c>
      <c r="AP15" s="180">
        <f>Raw_Data!I354</f>
        <v>54.115499999999997</v>
      </c>
      <c r="AQ15" s="181">
        <f>IF(ISNUMBER($AP15),IF($E15="USD",$AP15,$AP15/VLOOKUP($E15&amp;"=X",$B$24:$C$25,2,0)),"n.a.")</f>
        <v>54.115499999999997</v>
      </c>
      <c r="AR15" s="180">
        <f>Raw_Data!J354</f>
        <v>-40.561399999999999</v>
      </c>
      <c r="AS15" s="181">
        <f>IF(ISNUMBER($AR15),IF($E15="USD",$AR15,$AR15/VLOOKUP($E15&amp;"=X",$B$24:$C$25,2,0)),"n.a.")</f>
        <v>-40.561399999999999</v>
      </c>
      <c r="AT15" s="180">
        <f>Raw_Data!K354</f>
        <v>31.959299999999999</v>
      </c>
      <c r="AU15" s="181">
        <f>IF(ISNUMBER($AT15),IF($E15="USD",$AT15,$AT15/VLOOKUP($E15&amp;"=X",$B$24:$C$25,2,0)),"n.a.")</f>
        <v>31.959299999999999</v>
      </c>
      <c r="AV15" s="183">
        <f>IFERROR(IF(N($AN15)&lt;=0,"n.a.",$L15/$AN15),"n.a.")</f>
        <v>-0.70876288659793818</v>
      </c>
      <c r="AW15" s="188">
        <f>Raw_Data!H354</f>
        <v>0.317</v>
      </c>
    </row>
    <row r="16" spans="1:49" s="111" customFormat="1" ht="60" customHeight="1" x14ac:dyDescent="0.15">
      <c r="A16" s="142" t="str">
        <f>Raw_Data!B169</f>
        <v>Micron Technology, Inc.</v>
      </c>
      <c r="B16" s="141" t="str">
        <f>Raw_Data!C169</f>
        <v>MU</v>
      </c>
      <c r="C16" s="141" t="str">
        <f>Raw_Data!D169</f>
        <v>NasdaqGS</v>
      </c>
      <c r="D16" s="141" t="str">
        <f>Raw_Data!D355</f>
        <v>Ordinary</v>
      </c>
      <c r="E16" s="141" t="str">
        <f>Raw_Data!E169</f>
        <v>USD</v>
      </c>
      <c r="F16" s="141" t="str">
        <f>Raw_Data!F169</f>
        <v>Aug (Thu nearest Aug 31)</v>
      </c>
      <c r="G16" s="141" t="str">
        <f>Raw_Data!G169</f>
        <v>FY2026A (Sep-26)</v>
      </c>
      <c r="H16" s="142" t="str">
        <f>Raw_Data!H169</f>
        <v>DRAM/HBM/NAND memory maker — AI memory supercycle (HBM for AI accelerators) [D 10-K FY2025]</v>
      </c>
      <c r="I16" s="180">
        <f>Raw_Data!I169</f>
        <v>1035.8399999999999</v>
      </c>
      <c r="J16" s="180">
        <f>Raw_Data!K169</f>
        <v>1169.5228420000001</v>
      </c>
      <c r="K16" s="181">
        <f>IF(ISNUMBER($J16),IF($E16="USD",$J16,$J16/VLOOKUP($E16&amp;"=X",$B$24:$C$25,2,0)),"n.a.")</f>
        <v>1169.5228420000001</v>
      </c>
      <c r="L16" s="180">
        <f>Raw_Data!L169</f>
        <v>-38.255000000000003</v>
      </c>
      <c r="M16" s="180">
        <f>Raw_Data!M169</f>
        <v>138.37799999999999</v>
      </c>
      <c r="N16" s="181">
        <f>IF(ISNUMBER($L16),IF($E16="USD",$K16+$L16,$K16+$L16/VLOOKUP($E16&amp;"=X",$B$24:$C$25,2,0)),"n.a.")</f>
        <v>1131.267842</v>
      </c>
      <c r="O16" s="182">
        <f>Raw_Data!P169</f>
        <v>175.82</v>
      </c>
      <c r="P16" s="180">
        <f>Raw_Data!Q169</f>
        <v>208.36</v>
      </c>
      <c r="Q16" s="180">
        <f>Raw_Data!E355</f>
        <v>176.51</v>
      </c>
      <c r="R16" s="183">
        <f>IFERROR(IF(N($Q16)&lt;=0,"n.a.",$I16/$Q16),"n.a.")</f>
        <v>5.8684493796385473</v>
      </c>
      <c r="S16" s="184">
        <f>IFERROR(IF(N($O16)&lt;=0,"n.a.",$I16/$O16),"n.a.")</f>
        <v>5.8914799226481627</v>
      </c>
      <c r="T16" s="184">
        <f>IFERROR(IF(N($P16)&lt;=0,"n.a.",$I16/$P16),"n.a.")</f>
        <v>4.9713956613553458</v>
      </c>
      <c r="U16" s="185">
        <f>Raw_Data!F355</f>
        <v>13.94</v>
      </c>
      <c r="V16" s="186" t="s">
        <v>247</v>
      </c>
      <c r="W16" s="184">
        <f>IFERROR(IF(N($AN16)&lt;=0,"n.a.",$N16/$AN16),"n.a.")</f>
        <v>10.393574616649669</v>
      </c>
      <c r="X16" s="184">
        <f>IFERROR(IF(N($M16)&lt;=0,"n.a.",$J16/$M16),"n.a.")</f>
        <v>8.4516530228793609</v>
      </c>
      <c r="Y16" s="184">
        <f>IFERROR(IF(OR(N($O16)&lt;=0,N($P16)&lt;=0,($P16/$O16-1)&lt;=0),"n.a.",$S16/(($P16/$O16-1)*100)),"n.a.")</f>
        <v>0.3183282114320834</v>
      </c>
      <c r="Z16" s="187">
        <f>Raw_Data!R169</f>
        <v>0.80720000000000003</v>
      </c>
      <c r="AA16" s="188">
        <f>Raw_Data!G355</f>
        <v>0.74590000000000001</v>
      </c>
      <c r="AB16" s="189">
        <f>IF(OR(NOT(ISNUMBER($AN16)),NOT(ISNUMBER($AJ16)),$AJ16=0),"n.a.",$AN16/$AJ16)</f>
        <v>0.81721326245607717</v>
      </c>
      <c r="AC16" s="134">
        <f>Raw_Data!L355</f>
        <v>1.0664</v>
      </c>
      <c r="AD16" s="188">
        <f>Raw_Data!S169</f>
        <v>3.4643000000000002</v>
      </c>
      <c r="AE16" s="189">
        <f>IFERROR(IF(OR(N($O16)&lt;=0,N($P16)&lt;=0),"n.a.",$P16/$O16-1),"n.a.")</f>
        <v>0.18507564554658185</v>
      </c>
      <c r="AF16" s="153" t="str">
        <f>Raw_Data!M355</f>
        <v>CMBU (compute &amp; networking, incl. HBM) / Mobile / Automotive &amp; Embedded / Storage</v>
      </c>
      <c r="AG16" s="142" t="str">
        <f>Raw_Data!N355</f>
        <v>n.a.</v>
      </c>
      <c r="AH16" s="142" t="str">
        <f>Raw_Data!O355</f>
        <v>n.a. as a DC share — HBM/DRAM is the AI vector (see Memory column)</v>
      </c>
      <c r="AI16" s="142" t="str">
        <f>Raw_Data!P355</f>
        <v>HBM3E/HBM4 + DRAM for AI accelerators; memory supercycle (3Q26 revenue $41.5bn, +346% YoY)</v>
      </c>
      <c r="AJ16" s="182">
        <f>Raw_Data!N169</f>
        <v>133.18799999999999</v>
      </c>
      <c r="AK16" s="181">
        <f>IF(ISNUMBER($AJ16),IF($E16="USD",$AJ16,$AJ16/VLOOKUP($E16&amp;"=X",$B$24:$C$25,2,0)),"n.a.")</f>
        <v>133.18799999999999</v>
      </c>
      <c r="AL16" s="190">
        <f>Raw_Data!S355</f>
        <v>275.20999999999998</v>
      </c>
      <c r="AM16" s="181">
        <f>IF(ISNUMBER($AL16),IF($E16="USD",$AL16,$AL16/VLOOKUP($E16&amp;"=X",$B$24:$C$25,2,0)),"n.a.")</f>
        <v>275.20999999999998</v>
      </c>
      <c r="AN16" s="180">
        <f>Raw_Data!O169</f>
        <v>108.843</v>
      </c>
      <c r="AO16" s="181">
        <f>IF(ISNUMBER($AN16),IF($E16="USD",$AN16,$AN16/VLOOKUP($E16&amp;"=X",$B$24:$C$25,2,0)),"n.a.")</f>
        <v>108.843</v>
      </c>
      <c r="AP16" s="180">
        <f>Raw_Data!I355</f>
        <v>84.968999999999994</v>
      </c>
      <c r="AQ16" s="181">
        <f>IF(ISNUMBER($AP16),IF($E16="USD",$AP16,$AP16/VLOOKUP($E16&amp;"=X",$B$24:$C$25,2,0)),"n.a.")</f>
        <v>84.968999999999994</v>
      </c>
      <c r="AR16" s="180">
        <f>Raw_Data!J355</f>
        <v>-30.712</v>
      </c>
      <c r="AS16" s="181">
        <f>IF(ISNUMBER($AR16),IF($E16="USD",$AR16,$AR16/VLOOKUP($E16&amp;"=X",$B$24:$C$25,2,0)),"n.a.")</f>
        <v>-30.712</v>
      </c>
      <c r="AT16" s="180">
        <f>Raw_Data!K355</f>
        <v>58.963000000000001</v>
      </c>
      <c r="AU16" s="181">
        <f>IF(ISNUMBER($AT16),IF($E16="USD",$AT16,$AT16/VLOOKUP($E16&amp;"=X",$B$24:$C$25,2,0)),"n.a.")</f>
        <v>58.963000000000001</v>
      </c>
      <c r="AV16" s="183">
        <f>IFERROR(IF(N($AN16)&lt;=0,"n.a.",$L16/$AN16),"n.a.")</f>
        <v>-0.35146954788089269</v>
      </c>
      <c r="AW16" s="188">
        <f>Raw_Data!H355</f>
        <v>0.61399999999999999</v>
      </c>
    </row>
    <row r="17" spans="1:49" s="111" customFormat="1" ht="45" customHeight="1" x14ac:dyDescent="0.15">
      <c r="A17" s="158" t="str">
        <f>Raw_Data!B170</f>
        <v>Arm Holdings plc</v>
      </c>
      <c r="B17" s="157" t="str">
        <f>Raw_Data!C170</f>
        <v>ARM</v>
      </c>
      <c r="C17" s="157" t="str">
        <f>Raw_Data!D170</f>
        <v>NasdaqGS (ADS)</v>
      </c>
      <c r="D17" s="157" t="str">
        <f>Raw_Data!D356</f>
        <v>ADR</v>
      </c>
      <c r="E17" s="157" t="str">
        <f>Raw_Data!E170</f>
        <v>USD</v>
      </c>
      <c r="F17" s="157" t="str">
        <f>Raw_Data!F170</f>
        <v>Mar</v>
      </c>
      <c r="G17" s="157" t="str">
        <f>Raw_Data!G170</f>
        <v>1Q27 (Jun-26)</v>
      </c>
      <c r="H17" s="158" t="str">
        <f>Raw_Data!H170</f>
        <v>CPU IP licensor (royalty + license model; compute subsystems for AI data-center and edge) [D 20-F FY2026]</v>
      </c>
      <c r="I17" s="191">
        <f>Raw_Data!I170</f>
        <v>275.29000000000002</v>
      </c>
      <c r="J17" s="191">
        <f>Raw_Data!K170</f>
        <v>294.19161800000001</v>
      </c>
      <c r="K17" s="192">
        <f>IF(ISNUMBER($J17),IF($E17="USD",$J17,$J17/VLOOKUP($E17&amp;"=X",$B$24:$C$25,2,0)),"n.a.")</f>
        <v>294.19161800000001</v>
      </c>
      <c r="L17" s="191">
        <f>Raw_Data!L170</f>
        <v>-3.8879999999999999</v>
      </c>
      <c r="M17" s="191">
        <f>Raw_Data!M170</f>
        <v>8.6300000000000008</v>
      </c>
      <c r="N17" s="192">
        <f>IF(ISNUMBER($L17),IF($E17="USD",$K17+$L17,$K17+$L17/VLOOKUP($E17&amp;"=X",$B$24:$C$25,2,0)),"n.a.")</f>
        <v>290.30361800000003</v>
      </c>
      <c r="O17" s="193">
        <f>Raw_Data!P170</f>
        <v>1.1499999999999999</v>
      </c>
      <c r="P17" s="191">
        <f>Raw_Data!Q170</f>
        <v>1.9</v>
      </c>
      <c r="Q17" s="191">
        <f>Raw_Data!E356</f>
        <v>1.37</v>
      </c>
      <c r="R17" s="194">
        <f>IFERROR(IF(N($Q17)&lt;=0,"n.a.",$I17/$Q17),"n.a.")</f>
        <v>200.94160583941607</v>
      </c>
      <c r="S17" s="195">
        <f>IFERROR(IF(N($O17)&lt;=0,"n.a.",$I17/$O17),"n.a.")</f>
        <v>239.38260869565221</v>
      </c>
      <c r="T17" s="195">
        <f>IFERROR(IF(N($P17)&lt;=0,"n.a.",$I17/$P17),"n.a.")</f>
        <v>144.88947368421054</v>
      </c>
      <c r="U17" s="196">
        <f>Raw_Data!F356</f>
        <v>325.44</v>
      </c>
      <c r="V17" s="197" t="s">
        <v>247</v>
      </c>
      <c r="W17" s="195">
        <f>IFERROR(IF(N($AN17)&lt;=0,"n.a.",$N17/$AN17),"n.a.")</f>
        <v>232.61507852564105</v>
      </c>
      <c r="X17" s="195">
        <f>IFERROR(IF(N($M17)&lt;=0,"n.a.",$J17/$M17),"n.a.")</f>
        <v>34.089411123986089</v>
      </c>
      <c r="Y17" s="195">
        <f>IFERROR(IF(OR(N($O17)&lt;=0,N($P17)&lt;=0,($P17/$O17-1)&lt;=0),"n.a.",$S17/(($P17/$O17-1)*100)),"n.a.")</f>
        <v>3.6705333333333336</v>
      </c>
      <c r="Z17" s="198">
        <f>Raw_Data!R170</f>
        <v>0.97540000000000004</v>
      </c>
      <c r="AA17" s="199">
        <f>Raw_Data!G356</f>
        <v>0.18290000000000001</v>
      </c>
      <c r="AB17" s="200">
        <f>IF(OR(NOT(ISNUMBER($AN17)),NOT(ISNUMBER($AJ17)),$AJ17=0),"n.a.",$AN17/$AJ17)</f>
        <v>0.25365853658536586</v>
      </c>
      <c r="AC17" s="134">
        <f>Raw_Data!L356</f>
        <v>0.23169999999999999</v>
      </c>
      <c r="AD17" s="199">
        <f>Raw_Data!S170</f>
        <v>0.22409999999999999</v>
      </c>
      <c r="AE17" s="200">
        <f>IFERROR(IF(OR(N($O17)&lt;=0,N($P17)&lt;=0),"n.a.",$P17/$O17-1),"n.a.")</f>
        <v>0.65217391304347827</v>
      </c>
      <c r="AF17" s="169" t="str">
        <f>Raw_Data!M356</f>
        <v>Royalty + license (CPU IP; compute subsystems for AI data-center and edge)</v>
      </c>
      <c r="AG17" s="158" t="str">
        <f>Raw_Data!N356</f>
        <v>IP licensor — CPU cores/subsystems for custom ASICs: NVIDIA Grace uses Neoverse V2 cores (core-IP license); NVIDIA Vera uses NVIDIA in-house Olympus cores (Arm v9.2-A architectural license, no longer Neoverse); Neoverse CSS sits inside other licensees' in-house CPUs; royalty on every custom-AI chip shipped; not a chipmaker itself</v>
      </c>
      <c r="AH17" s="158" t="str">
        <f>Raw_Data!O356</f>
        <v>Not separately quantified — royalty-bearing CPU IP across AI-DC custom silicon (Grace = Neoverse V2 core IP; Vera = Arm architectural license); AI-DC is the primary growth vector</v>
      </c>
      <c r="AI17" s="158" t="str">
        <f>Raw_Data!P356</f>
        <v>Neither buyer nor maker — IP only; licensees integrate HBM/DDR</v>
      </c>
      <c r="AJ17" s="193">
        <f>Raw_Data!N170</f>
        <v>4.92</v>
      </c>
      <c r="AK17" s="192">
        <f>IF(ISNUMBER($AJ17),IF($E17="USD",$AJ17,$AJ17/VLOOKUP($E17&amp;"=X",$B$24:$C$25,2,0)),"n.a.")</f>
        <v>4.92</v>
      </c>
      <c r="AL17" s="201">
        <f>Raw_Data!S356</f>
        <v>6.06</v>
      </c>
      <c r="AM17" s="192">
        <f>IF(ISNUMBER($AL17),IF($E17="USD",$AL17,$AL17/VLOOKUP($E17&amp;"=X",$B$24:$C$25,2,0)),"n.a.")</f>
        <v>6.06</v>
      </c>
      <c r="AN17" s="191">
        <f>Raw_Data!O170</f>
        <v>1.248</v>
      </c>
      <c r="AO17" s="192">
        <f>IF(ISNUMBER($AN17),IF($E17="USD",$AN17,$AN17/VLOOKUP($E17&amp;"=X",$B$24:$C$25,2,0)),"n.a.")</f>
        <v>1.248</v>
      </c>
      <c r="AP17" s="191">
        <f>Raw_Data!I356</f>
        <v>0.90400000000000003</v>
      </c>
      <c r="AQ17" s="192">
        <f>IF(ISNUMBER($AP17),IF($E17="USD",$AP17,$AP17/VLOOKUP($E17&amp;"=X",$B$24:$C$25,2,0)),"n.a.")</f>
        <v>0.90400000000000003</v>
      </c>
      <c r="AR17" s="191">
        <f>Raw_Data!J356</f>
        <v>-0.54500000000000004</v>
      </c>
      <c r="AS17" s="192">
        <f>IF(ISNUMBER($AR17),IF($E17="USD",$AR17,$AR17/VLOOKUP($E17&amp;"=X",$B$24:$C$25,2,0)),"n.a.")</f>
        <v>-0.54500000000000004</v>
      </c>
      <c r="AT17" s="191">
        <f>Raw_Data!K356</f>
        <v>0.97899999999999998</v>
      </c>
      <c r="AU17" s="192">
        <f>IF(ISNUMBER($AT17),IF($E17="USD",$AT17,$AT17/VLOOKUP($E17&amp;"=X",$B$24:$C$25,2,0)),"n.a.")</f>
        <v>0.97899999999999998</v>
      </c>
      <c r="AV17" s="194">
        <f>IFERROR(IF(N($AN17)&lt;=0,"n.a.",$L17/$AN17),"n.a.")</f>
        <v>-3.1153846153846154</v>
      </c>
      <c r="AW17" s="199">
        <f>Raw_Data!H356</f>
        <v>0.1091</v>
      </c>
    </row>
    <row r="18" spans="1:49" ht="13.5" customHeight="1" x14ac:dyDescent="0.15">
      <c r="A18" s="202" t="s">
        <v>526</v>
      </c>
      <c r="K18" s="203">
        <f>IFERROR(IF(COUNT(K15,K16,K17)=0,"n.a.",AVERAGE(K15,K16,K17)),"n.a.")</f>
        <v>1278.9740243333333</v>
      </c>
      <c r="N18" s="203">
        <f>IFERROR(IF(COUNT(N15,N16,N17)=0,"n.a.",AVERAGE(N15,N16,N17)),"n.a.")</f>
        <v>1245.1630243333332</v>
      </c>
      <c r="O18" s="173"/>
      <c r="R18" s="204">
        <f t="shared" ref="R18:AE18" si="18">IFERROR(IF(COUNT(R15,R16,R17)=0,"n.a.",AVERAGE(R15,R16,R17)),"n.a.")</f>
        <v>76.916995231582419</v>
      </c>
      <c r="S18" s="205">
        <f t="shared" si="18"/>
        <v>90.97682986149465</v>
      </c>
      <c r="T18" s="205">
        <f t="shared" si="18"/>
        <v>57.110835179573691</v>
      </c>
      <c r="U18" s="205">
        <f t="shared" si="18"/>
        <v>127.74333333333334</v>
      </c>
      <c r="V18" s="205" t="str">
        <f t="shared" si="18"/>
        <v>n.a.</v>
      </c>
      <c r="W18" s="205">
        <f t="shared" si="18"/>
        <v>90.223207800900141</v>
      </c>
      <c r="X18" s="205">
        <f t="shared" si="18"/>
        <v>18.81434923459161</v>
      </c>
      <c r="Y18" s="205">
        <f t="shared" si="18"/>
        <v>1.6496694317631755</v>
      </c>
      <c r="Z18" s="206">
        <f t="shared" si="18"/>
        <v>0.79383333333333328</v>
      </c>
      <c r="AA18" s="207">
        <f t="shared" si="18"/>
        <v>0.47900000000000004</v>
      </c>
      <c r="AB18" s="207">
        <f t="shared" si="18"/>
        <v>0.58660199464658447</v>
      </c>
      <c r="AC18" s="206">
        <f t="shared" si="18"/>
        <v>0.57630000000000003</v>
      </c>
      <c r="AD18" s="207">
        <f t="shared" si="18"/>
        <v>1.8442000000000001</v>
      </c>
      <c r="AE18" s="207">
        <f t="shared" si="18"/>
        <v>0.37509767895030993</v>
      </c>
      <c r="AF18" s="173"/>
      <c r="AJ18" s="173"/>
      <c r="AK18" s="203">
        <f>IFERROR(IF(COUNT(AK15,AK16,AK17)=0,"n.a.",AVERAGE(AK15,AK16,AK17)),"n.a.")</f>
        <v>86.510499999999993</v>
      </c>
      <c r="AM18" s="203">
        <f>IFERROR(IF(COUNT(AM15,AM16,AM17)=0,"n.a.",AVERAGE(AM15,AM16,AM17)),"n.a.")</f>
        <v>151.66666666666666</v>
      </c>
      <c r="AO18" s="203">
        <f>IFERROR(IF(COUNT(AO15,AO16,AO17)=0,"n.a.",AVERAGE(AO15,AO16,AO17)),"n.a.")</f>
        <v>64.581266666666664</v>
      </c>
      <c r="AQ18" s="203">
        <f>IFERROR(IF(COUNT(AQ15,AQ16,AQ17)=0,"n.a.",AVERAGE(AQ15,AQ16,AQ17)),"n.a.")</f>
        <v>46.662833333333332</v>
      </c>
      <c r="AS18" s="203">
        <f>IFERROR(IF(COUNT(AS15,AS16,AS17)=0,"n.a.",AVERAGE(AS15,AS16,AS17)),"n.a.")</f>
        <v>-23.939466666666664</v>
      </c>
      <c r="AU18" s="203">
        <f>IFERROR(IF(COUNT(AU15,AU16,AU17)=0,"n.a.",AVERAGE(AU15,AU16,AU17)),"n.a.")</f>
        <v>30.63376666666667</v>
      </c>
      <c r="AV18" s="204">
        <f>IFERROR(IF(COUNT(AV15,AV16,AV17)=0,"n.a.",AVERAGE(AV15,AV16,AV17)),"n.a.")</f>
        <v>-1.3918723499544818</v>
      </c>
      <c r="AW18" s="207">
        <f>IFERROR(IF(COUNT(AW15,AW16,AW17)=0,"n.a.",AVERAGE(AW15,AW16,AW17)),"n.a.")</f>
        <v>0.34670000000000001</v>
      </c>
    </row>
    <row r="19" spans="1:49" ht="13.5" customHeight="1" x14ac:dyDescent="0.15">
      <c r="A19" s="202" t="s">
        <v>527</v>
      </c>
      <c r="K19" s="203">
        <f>IFERROR(IF(COUNT(K15,K16,K17)=0,"n.a.",MEDIAN(K15,K16,K17)),"n.a.")</f>
        <v>1169.5228420000001</v>
      </c>
      <c r="N19" s="203">
        <f>IFERROR(IF(COUNT(N15,N16,N17)=0,"n.a.",MEDIAN(N15,N16,N17)),"n.a.")</f>
        <v>1131.267842</v>
      </c>
      <c r="O19" s="173"/>
      <c r="R19" s="204">
        <f t="shared" ref="R19:AE19" si="19">IFERROR(IF(COUNT(R15,R16,R17)=0,"n.a.",MEDIAN(R15,R16,R17)),"n.a.")</f>
        <v>23.940930475692632</v>
      </c>
      <c r="S19" s="205">
        <f t="shared" si="19"/>
        <v>27.656400966183579</v>
      </c>
      <c r="T19" s="205">
        <f t="shared" si="19"/>
        <v>21.471636193155181</v>
      </c>
      <c r="U19" s="205">
        <f t="shared" si="19"/>
        <v>43.85</v>
      </c>
      <c r="V19" s="205" t="str">
        <f t="shared" si="19"/>
        <v>n.a.</v>
      </c>
      <c r="W19" s="205">
        <f t="shared" si="19"/>
        <v>27.660970260409695</v>
      </c>
      <c r="X19" s="205">
        <f t="shared" si="19"/>
        <v>13.901983556909379</v>
      </c>
      <c r="Y19" s="205">
        <f t="shared" si="19"/>
        <v>0.96014675052410903</v>
      </c>
      <c r="Z19" s="206">
        <f t="shared" si="19"/>
        <v>0.80720000000000003</v>
      </c>
      <c r="AA19" s="207">
        <f t="shared" si="19"/>
        <v>0.50819999999999999</v>
      </c>
      <c r="AB19" s="207">
        <f t="shared" si="19"/>
        <v>0.68893418489831038</v>
      </c>
      <c r="AC19" s="206">
        <f t="shared" si="19"/>
        <v>0.43080000000000002</v>
      </c>
      <c r="AD19" s="207">
        <f t="shared" si="19"/>
        <v>1.8442000000000001</v>
      </c>
      <c r="AE19" s="207">
        <f t="shared" si="19"/>
        <v>0.28804347826086962</v>
      </c>
      <c r="AF19" s="173"/>
      <c r="AJ19" s="173"/>
      <c r="AK19" s="203">
        <f>IFERROR(IF(COUNT(AK15,AK16,AK17)=0,"n.a.",MEDIAN(AK15,AK16,AK17)),"n.a.")</f>
        <v>121.4235</v>
      </c>
      <c r="AM19" s="203">
        <f>IFERROR(IF(COUNT(AM15,AM16,AM17)=0,"n.a.",MEDIAN(AM15,AM16,AM17)),"n.a.")</f>
        <v>173.73</v>
      </c>
      <c r="AO19" s="203">
        <f>IFERROR(IF(COUNT(AO15,AO16,AO17)=0,"n.a.",MEDIAN(AO15,AO16,AO17)),"n.a.")</f>
        <v>83.652799999999999</v>
      </c>
      <c r="AQ19" s="203">
        <f>IFERROR(IF(COUNT(AQ15,AQ16,AQ17)=0,"n.a.",MEDIAN(AQ15,AQ16,AQ17)),"n.a.")</f>
        <v>54.115499999999997</v>
      </c>
      <c r="AS19" s="203">
        <f>IFERROR(IF(COUNT(AS15,AS16,AS17)=0,"n.a.",MEDIAN(AS15,AS16,AS17)),"n.a.")</f>
        <v>-30.712</v>
      </c>
      <c r="AU19" s="203">
        <f>IFERROR(IF(COUNT(AU15,AU16,AU17)=0,"n.a.",MEDIAN(AU15,AU16,AU17)),"n.a.")</f>
        <v>31.959299999999999</v>
      </c>
      <c r="AV19" s="204">
        <f>IFERROR(IF(COUNT(AV15,AV16,AV17)=0,"n.a.",MEDIAN(AV15,AV16,AV17)),"n.a.")</f>
        <v>-0.70876288659793818</v>
      </c>
      <c r="AW19" s="207">
        <f>IFERROR(IF(COUNT(AW15,AW16,AW17)=0,"n.a.",MEDIAN(AW15,AW16,AW17)),"n.a.")</f>
        <v>0.317</v>
      </c>
    </row>
    <row r="20" spans="1:49" ht="13.5" customHeight="1" x14ac:dyDescent="0.15">
      <c r="A20" s="202" t="s">
        <v>529</v>
      </c>
      <c r="K20" s="203">
        <f>IFERROR(IF(COUNT(K6:K10,K15:K17)=0,"n.a.",AVERAGE(K6:K10,K15:K17)),"n.a.")</f>
        <v>945.26758325000003</v>
      </c>
      <c r="N20" s="203">
        <f>IFERROR(IF(COUNT(N6:N10,N15:N17)=0,"n.a.",AVERAGE(N6:N10,N15:N17)),"n.a.")</f>
        <v>939.38408325</v>
      </c>
      <c r="O20" s="173"/>
      <c r="R20" s="204">
        <f t="shared" ref="R20:AE20" si="20">IFERROR(IF(COUNT(R6:R10,R15:R17)=0,"n.a.",AVERAGE(R6:R10,R15:R17)),"n.a.")</f>
        <v>63.080709599565488</v>
      </c>
      <c r="S20" s="205">
        <f t="shared" si="20"/>
        <v>77.492824320089539</v>
      </c>
      <c r="T20" s="205">
        <f t="shared" si="20"/>
        <v>48.287650906460769</v>
      </c>
      <c r="U20" s="205">
        <f t="shared" si="20"/>
        <v>116.43857142857142</v>
      </c>
      <c r="V20" s="205" t="str">
        <f t="shared" si="20"/>
        <v>n.a.</v>
      </c>
      <c r="W20" s="205">
        <f t="shared" si="20"/>
        <v>79.982083716256341</v>
      </c>
      <c r="X20" s="205">
        <f t="shared" si="20"/>
        <v>14.365391945158642</v>
      </c>
      <c r="Y20" s="205">
        <f t="shared" si="20"/>
        <v>1.4451612723042158</v>
      </c>
      <c r="Z20" s="206">
        <f t="shared" si="20"/>
        <v>0.62083750000000004</v>
      </c>
      <c r="AA20" s="207">
        <f t="shared" si="20"/>
        <v>0.29262500000000002</v>
      </c>
      <c r="AB20" s="207">
        <f t="shared" si="20"/>
        <v>0.41352259160424798</v>
      </c>
      <c r="AC20" s="206">
        <f t="shared" si="20"/>
        <v>0.43669999999999998</v>
      </c>
      <c r="AD20" s="207">
        <f t="shared" si="20"/>
        <v>0.80341428571428575</v>
      </c>
      <c r="AE20" s="207">
        <f t="shared" si="20"/>
        <v>0.50552245431702991</v>
      </c>
      <c r="AF20" s="173"/>
      <c r="AJ20" s="173"/>
      <c r="AK20" s="203">
        <f>IFERROR(IF(COUNT(AK6:AK10,AK15:AK17)=0,"n.a.",AVERAGE(AK6:AK10,AK15:AK17)),"n.a.")</f>
        <v>57.923637500000005</v>
      </c>
      <c r="AM20" s="203">
        <f>IFERROR(IF(COUNT(AM6:AM10,AM15:AM17)=0,"n.a.",AVERAGE(AM6:AM10,AM15:AM17)),"n.a.")</f>
        <v>91.246250000000003</v>
      </c>
      <c r="AO20" s="203">
        <f>IFERROR(IF(COUNT(AO6:AO10,AO15:AO17)=0,"n.a.",AVERAGE(AO6:AO10,AO15:AO17)),"n.a.")</f>
        <v>32.618162500000004</v>
      </c>
      <c r="AQ20" s="203">
        <f>IFERROR(IF(COUNT(AQ6:AQ10,AQ15:AQ17)=0,"n.a.",AVERAGE(AQ6:AQ10,AQ15:AQ17)),"n.a.")</f>
        <v>21.924199999999999</v>
      </c>
      <c r="AS20" s="203">
        <f>IFERROR(IF(COUNT(AS6:AS10,AS15:AS17)=0,"n.a.",AVERAGE(AS6:AS10,AS15:AS17)),"n.a.")</f>
        <v>-11.2009375</v>
      </c>
      <c r="AU20" s="203">
        <f>IFERROR(IF(COUNT(AU6:AU10,AU15:AU17)=0,"n.a.",AVERAGE(AU6:AU10,AU15:AU17)),"n.a.")</f>
        <v>16.8522125</v>
      </c>
      <c r="AV20" s="204">
        <f>IFERROR(IF(COUNT(AV6:AV10,AV15:AV17)=0,"n.a.",AVERAGE(AV6:AV10,AV15:AV17)),"n.a.")</f>
        <v>-0.19228287565475696</v>
      </c>
      <c r="AW20" s="207">
        <f>IFERROR(IF(COUNT(AW6:AW10,AW15:AW17)=0,"n.a.",AVERAGE(AW6:AW10,AW15:AW17)),"n.a.")</f>
        <v>0.22987499999999997</v>
      </c>
    </row>
    <row r="21" spans="1:49" ht="13.5" customHeight="1" x14ac:dyDescent="0.15">
      <c r="A21" s="202" t="s">
        <v>530</v>
      </c>
      <c r="K21" s="203">
        <f>IFERROR(IF(COUNT(K6:K10,K15:K17)=0,"n.a.",MEDIAN(K6:K10,K15:K17)),"n.a.")</f>
        <v>790.12868849999995</v>
      </c>
      <c r="N21" s="203">
        <f>IFERROR(IF(COUNT(N6:N10,N15:N17)=0,"n.a.",MEDIAN(N6:N10,N15:N17)),"n.a.")</f>
        <v>795.59118850000004</v>
      </c>
      <c r="O21" s="173"/>
      <c r="R21" s="204">
        <f t="shared" ref="R21:AE21" si="21">IFERROR(IF(COUNT(R6:R10,R15:R17)=0,"n.a.",MEDIAN(R6:R10,R15:R17)),"n.a.")</f>
        <v>45.210964958434175</v>
      </c>
      <c r="S21" s="205">
        <f t="shared" si="21"/>
        <v>62.390742526518807</v>
      </c>
      <c r="T21" s="205">
        <f t="shared" si="21"/>
        <v>35.009589712936986</v>
      </c>
      <c r="U21" s="205">
        <f t="shared" si="21"/>
        <v>74.34</v>
      </c>
      <c r="V21" s="205" t="str">
        <f t="shared" si="21"/>
        <v>n.a.</v>
      </c>
      <c r="W21" s="205">
        <f t="shared" si="21"/>
        <v>56.63324254917697</v>
      </c>
      <c r="X21" s="205">
        <f t="shared" si="21"/>
        <v>13.450111363379898</v>
      </c>
      <c r="Y21" s="205">
        <f t="shared" si="21"/>
        <v>0.96014675052410903</v>
      </c>
      <c r="Z21" s="206">
        <f t="shared" si="21"/>
        <v>0.57665</v>
      </c>
      <c r="AA21" s="207">
        <f t="shared" si="21"/>
        <v>0.23095000000000002</v>
      </c>
      <c r="AB21" s="207">
        <f t="shared" si="21"/>
        <v>0.32067423565522618</v>
      </c>
      <c r="AC21" s="206">
        <f t="shared" si="21"/>
        <v>0.45084999999999997</v>
      </c>
      <c r="AD21" s="207">
        <f t="shared" si="21"/>
        <v>0.36549999999999999</v>
      </c>
      <c r="AE21" s="207">
        <f t="shared" si="21"/>
        <v>0.51839464882943143</v>
      </c>
      <c r="AF21" s="173"/>
      <c r="AJ21" s="173"/>
      <c r="AK21" s="203">
        <f>IFERROR(IF(COUNT(AK6:AK10,AK15:AK17)=0,"n.a.",MEDIAN(AK6:AK10,AK15:AK17)),"n.a.")</f>
        <v>48.5685</v>
      </c>
      <c r="AM21" s="203">
        <f>IFERROR(IF(COUNT(AM6:AM10,AM15:AM17)=0,"n.a.",MEDIAN(AM6:AM10,AM15:AM17)),"n.a.")</f>
        <v>57.025000000000006</v>
      </c>
      <c r="AO21" s="203">
        <f>IFERROR(IF(COUNT(AO6:AO10,AO15:AO17)=0,"n.a.",MEDIAN(AO6:AO10,AO15:AO17)),"n.a.")</f>
        <v>11.885000000000002</v>
      </c>
      <c r="AQ21" s="203">
        <f>IFERROR(IF(COUNT(AQ6:AQ10,AQ15:AQ17)=0,"n.a.",MEDIAN(AQ6:AQ10,AQ15:AQ17)),"n.a.")</f>
        <v>4.9380000000000006</v>
      </c>
      <c r="AS21" s="203">
        <f>IFERROR(IF(COUNT(AS6:AS10,AS15:AS17)=0,"n.a.",MEDIAN(AS6:AS10,AS15:AS17)),"n.a.")</f>
        <v>-1.083</v>
      </c>
      <c r="AU21" s="203">
        <f>IFERROR(IF(COUNT(AU6:AU10,AU15:AU17)=0,"n.a.",MEDIAN(AU6:AU10,AU15:AU17)),"n.a.")</f>
        <v>9.7774999999999999</v>
      </c>
      <c r="AV21" s="204">
        <f>IFERROR(IF(COUNT(AV6:AV10,AV15:AV17)=0,"n.a.",MEDIAN(AV6:AV10,AV15:AV17)),"n.a.")</f>
        <v>2.1318985386127198E-2</v>
      </c>
      <c r="AW21" s="207">
        <f>IFERROR(IF(COUNT(AW6:AW10,AW15:AW17)=0,"n.a.",MEDIAN(AW6:AW10,AW15:AW17)),"n.a.")</f>
        <v>0.22394999999999998</v>
      </c>
    </row>
    <row r="23" spans="1:49" ht="13.5" customHeight="1" x14ac:dyDescent="0.15">
      <c r="A23" s="202" t="s">
        <v>531</v>
      </c>
    </row>
    <row r="24" spans="1:49" ht="13.5" customHeight="1" x14ac:dyDescent="0.15">
      <c r="A24" s="208" t="s">
        <v>532</v>
      </c>
      <c r="B24" s="209" t="s">
        <v>533</v>
      </c>
      <c r="C24" s="210">
        <v>1</v>
      </c>
    </row>
    <row r="25" spans="1:49" ht="13.5" customHeight="1" x14ac:dyDescent="0.15">
      <c r="A25" s="211"/>
      <c r="B25" s="211"/>
      <c r="C25" s="211"/>
    </row>
    <row r="26" spans="1:49" ht="13.5" customHeight="1" x14ac:dyDescent="0.15">
      <c r="A26" s="202" t="s">
        <v>534</v>
      </c>
    </row>
    <row r="27" spans="1:49" ht="13.5" customHeight="1" x14ac:dyDescent="0.15">
      <c r="A27" s="208" t="s">
        <v>535</v>
      </c>
    </row>
    <row r="28" spans="1:49" ht="13.5" customHeight="1" x14ac:dyDescent="0.15">
      <c r="A28" s="208" t="s">
        <v>536</v>
      </c>
    </row>
    <row r="29" spans="1:49" ht="13.5" customHeight="1" x14ac:dyDescent="0.15">
      <c r="A29" s="208" t="s">
        <v>537</v>
      </c>
    </row>
    <row r="30" spans="1:49" ht="13.5" customHeight="1" x14ac:dyDescent="0.15">
      <c r="A30" s="208" t="s">
        <v>538</v>
      </c>
    </row>
    <row r="31" spans="1:49" ht="13.5" customHeight="1" x14ac:dyDescent="0.15">
      <c r="A31" s="208" t="s">
        <v>539</v>
      </c>
    </row>
    <row r="32" spans="1:49" ht="13.5" customHeight="1" x14ac:dyDescent="0.15">
      <c r="A32" s="208" t="s">
        <v>540</v>
      </c>
    </row>
    <row r="33" spans="1:1" ht="13.5" customHeight="1" x14ac:dyDescent="0.15">
      <c r="A33" s="208" t="s">
        <v>541</v>
      </c>
    </row>
    <row r="34" spans="1:1" ht="13.5" customHeight="1" x14ac:dyDescent="0.15">
      <c r="A34" s="208" t="s">
        <v>542</v>
      </c>
    </row>
  </sheetData>
  <mergeCells count="10">
    <mergeCell ref="A1:AW1"/>
    <mergeCell ref="A2:H2"/>
    <mergeCell ref="I2:N2"/>
    <mergeCell ref="O2:Q2"/>
    <mergeCell ref="R2:Y2"/>
    <mergeCell ref="Z2:AB2"/>
    <mergeCell ref="AC2:AE2"/>
    <mergeCell ref="AF2:AI2"/>
    <mergeCell ref="AJ2:AU2"/>
    <mergeCell ref="AV2:AW2"/>
  </mergeCells>
  <phoneticPr fontId="61" type="noConversion"/>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51"/>
  <sheetViews>
    <sheetView showGridLines="0" zoomScale="150" zoomScaleNormal="150" workbookViewId="0">
      <pane xSplit="1" ySplit="6" topLeftCell="B7" activePane="bottomRight" state="frozen"/>
      <selection pane="topRight" activeCell="B1" sqref="B1"/>
      <selection pane="bottomLeft" activeCell="A7" sqref="A7"/>
      <selection pane="bottomRight" activeCell="F64" sqref="F64"/>
    </sheetView>
  </sheetViews>
  <sheetFormatPr baseColWidth="10" defaultColWidth="8.6640625" defaultRowHeight="14" x14ac:dyDescent="0.15"/>
  <cols>
    <col min="1" max="1" width="46" customWidth="1"/>
    <col min="2" max="3" width="12" customWidth="1"/>
    <col min="4" max="4" width="2.33203125" customWidth="1"/>
    <col min="5" max="8" width="12" customWidth="1"/>
    <col min="9" max="9" width="2" customWidth="1"/>
    <col min="10" max="10" width="56" customWidth="1"/>
  </cols>
  <sheetData>
    <row r="1" spans="1:10" ht="21.75" customHeight="1" x14ac:dyDescent="0.15">
      <c r="A1" s="95" t="s">
        <v>543</v>
      </c>
      <c r="B1" s="69"/>
      <c r="C1" s="69"/>
      <c r="D1" s="69"/>
      <c r="E1" s="69"/>
      <c r="F1" s="69"/>
      <c r="G1" s="69"/>
      <c r="H1" s="69"/>
      <c r="I1" s="69"/>
      <c r="J1" s="69"/>
    </row>
    <row r="2" spans="1:10" ht="15" customHeight="1" x14ac:dyDescent="0.15">
      <c r="A2" s="102" t="s">
        <v>544</v>
      </c>
    </row>
    <row r="3" spans="1:10" ht="15" customHeight="1" x14ac:dyDescent="0.15">
      <c r="A3" s="102" t="s">
        <v>545</v>
      </c>
    </row>
    <row r="4" spans="1:10" ht="15" customHeight="1" x14ac:dyDescent="0.15">
      <c r="A4" s="102" t="s">
        <v>546</v>
      </c>
      <c r="B4" s="212">
        <v>46320</v>
      </c>
      <c r="C4" s="212">
        <v>46418</v>
      </c>
      <c r="D4" s="213"/>
      <c r="E4" s="212">
        <v>46047</v>
      </c>
      <c r="F4" s="212">
        <v>46418</v>
      </c>
      <c r="G4" s="212">
        <v>46782</v>
      </c>
      <c r="H4" s="212">
        <v>47146</v>
      </c>
    </row>
    <row r="5" spans="1:10" ht="15" customHeight="1" x14ac:dyDescent="0.15">
      <c r="A5" s="214" t="s">
        <v>216</v>
      </c>
      <c r="B5" s="215" t="s">
        <v>547</v>
      </c>
      <c r="C5" s="215" t="s">
        <v>548</v>
      </c>
      <c r="D5" s="216"/>
      <c r="E5" s="215" t="s">
        <v>549</v>
      </c>
      <c r="F5" s="215" t="s">
        <v>236</v>
      </c>
      <c r="G5" s="215" t="s">
        <v>237</v>
      </c>
      <c r="H5" s="215" t="s">
        <v>238</v>
      </c>
      <c r="J5" s="214" t="s">
        <v>550</v>
      </c>
    </row>
    <row r="6" spans="1:10" ht="15" customHeight="1" x14ac:dyDescent="0.15">
      <c r="B6" s="217" t="s">
        <v>551</v>
      </c>
      <c r="C6" s="217" t="s">
        <v>551</v>
      </c>
      <c r="D6" s="217"/>
      <c r="E6" s="217" t="s">
        <v>359</v>
      </c>
      <c r="F6" s="217" t="s">
        <v>551</v>
      </c>
      <c r="G6" s="217" t="s">
        <v>551</v>
      </c>
      <c r="H6" s="217" t="s">
        <v>551</v>
      </c>
    </row>
    <row r="8" spans="1:10" ht="15" customHeight="1" x14ac:dyDescent="0.15">
      <c r="A8" s="214" t="s">
        <v>552</v>
      </c>
      <c r="B8" s="70"/>
      <c r="C8" s="70"/>
      <c r="E8" s="70"/>
      <c r="F8" s="70"/>
      <c r="G8" s="70"/>
      <c r="H8" s="70"/>
      <c r="I8" s="70"/>
      <c r="J8" s="70"/>
    </row>
    <row r="9" spans="1:10" ht="15" customHeight="1" x14ac:dyDescent="0.15">
      <c r="A9" s="96" t="s">
        <v>553</v>
      </c>
    </row>
    <row r="10" spans="1:10" ht="15" customHeight="1" x14ac:dyDescent="0.15">
      <c r="A10" s="97" t="s">
        <v>554</v>
      </c>
      <c r="B10" s="218">
        <f>Raw_Data!F264</f>
        <v>100.95399999999999</v>
      </c>
      <c r="C10" s="218">
        <f>Raw_Data!G264</f>
        <v>118.3</v>
      </c>
      <c r="D10" s="219"/>
      <c r="E10" s="218">
        <f>Raw_Data!B274</f>
        <v>193.73699999999999</v>
      </c>
      <c r="F10" s="218">
        <f>Raw_Data!C264</f>
        <v>383.52300000000002</v>
      </c>
      <c r="G10" s="218">
        <f>Raw_Data!D264</f>
        <v>667.56899999999996</v>
      </c>
      <c r="H10" s="218">
        <f>Raw_Data!E264</f>
        <v>848.39599999999996</v>
      </c>
      <c r="J10" s="102" t="s">
        <v>555</v>
      </c>
    </row>
    <row r="11" spans="1:10" ht="15" customHeight="1" x14ac:dyDescent="0.15">
      <c r="A11" s="220" t="s">
        <v>556</v>
      </c>
      <c r="B11" s="218">
        <f>Raw_Data!F271</f>
        <v>82.05</v>
      </c>
      <c r="C11" s="218">
        <f>Raw_Data!G271</f>
        <v>96.69</v>
      </c>
      <c r="D11" s="219"/>
      <c r="E11" s="218">
        <f>Raw_Data!B331</f>
        <v>162.35400000000001</v>
      </c>
      <c r="F11" s="218">
        <f>Raw_Data!C271</f>
        <v>310.76299999999998</v>
      </c>
      <c r="G11" s="218">
        <f>Raw_Data!D271</f>
        <v>553.03</v>
      </c>
      <c r="H11" s="218">
        <f>Raw_Data!E271</f>
        <v>712.88800000000003</v>
      </c>
      <c r="J11" s="102" t="s">
        <v>557</v>
      </c>
    </row>
    <row r="12" spans="1:10" ht="15" customHeight="1" x14ac:dyDescent="0.15">
      <c r="A12" s="220" t="s">
        <v>558</v>
      </c>
      <c r="B12" s="218">
        <f>Raw_Data!F272</f>
        <v>18.904</v>
      </c>
      <c r="C12" s="218">
        <f>Raw_Data!G272</f>
        <v>21.61</v>
      </c>
      <c r="D12" s="219"/>
      <c r="E12" s="218">
        <f>Raw_Data!B332</f>
        <v>31.382999999999999</v>
      </c>
      <c r="F12" s="218">
        <f>Raw_Data!C272</f>
        <v>72.760000000000005</v>
      </c>
      <c r="G12" s="218">
        <f>Raw_Data!D272</f>
        <v>114.539</v>
      </c>
      <c r="H12" s="218">
        <f>Raw_Data!E272</f>
        <v>135.50899999999999</v>
      </c>
      <c r="J12" s="102" t="s">
        <v>559</v>
      </c>
    </row>
    <row r="13" spans="1:10" ht="15" customHeight="1" x14ac:dyDescent="0.15">
      <c r="A13" s="97" t="s">
        <v>560</v>
      </c>
      <c r="B13" s="218">
        <f>Raw_Data!F265</f>
        <v>100.596</v>
      </c>
      <c r="C13" s="218">
        <f>Raw_Data!G265</f>
        <v>115.685</v>
      </c>
      <c r="D13" s="219"/>
      <c r="E13" s="218">
        <f>Raw_Data!B274</f>
        <v>193.73699999999999</v>
      </c>
      <c r="F13" s="218">
        <f>Raw_Data!C265</f>
        <v>380.55</v>
      </c>
      <c r="G13" s="218">
        <f>Raw_Data!D265</f>
        <v>662.85500000000002</v>
      </c>
      <c r="H13" s="218">
        <f>Raw_Data!E265</f>
        <v>845.03300000000002</v>
      </c>
      <c r="J13" s="102" t="s">
        <v>561</v>
      </c>
    </row>
    <row r="14" spans="1:10" ht="15" customHeight="1" x14ac:dyDescent="0.15">
      <c r="A14" s="97" t="s">
        <v>562</v>
      </c>
      <c r="B14" s="218"/>
      <c r="C14" s="218"/>
      <c r="D14" s="219"/>
      <c r="E14" s="218">
        <f>Raw_Data!B274</f>
        <v>193.73699999999999</v>
      </c>
      <c r="F14" s="218">
        <f>Raw_Data!C266</f>
        <v>378.35500000000002</v>
      </c>
      <c r="G14" s="218">
        <f>Raw_Data!D266</f>
        <v>617.64800000000002</v>
      </c>
      <c r="H14" s="218">
        <f>Raw_Data!E266</f>
        <v>719.14800000000002</v>
      </c>
      <c r="J14" s="102" t="s">
        <v>563</v>
      </c>
    </row>
    <row r="15" spans="1:10" ht="15" customHeight="1" x14ac:dyDescent="0.15">
      <c r="A15" s="96" t="s">
        <v>564</v>
      </c>
      <c r="B15" s="221" t="str">
        <f>IF(COUNT(B10,B13:B14)&gt;=3,AVERAGE(B10,B13:B14),"n.a.")</f>
        <v>n.a.</v>
      </c>
      <c r="C15" s="221" t="str">
        <f>IF(COUNT(C10,C13:C14)&gt;=3,AVERAGE(C10,C13:C14),"n.a.")</f>
        <v>n.a.</v>
      </c>
      <c r="D15" s="221"/>
      <c r="E15" s="221">
        <f>IF(COUNT(E10,E13:E14)&gt;=3,AVERAGE(E10,E13:E14),"n.a.")</f>
        <v>193.73699999999999</v>
      </c>
      <c r="F15" s="221">
        <f>IF(COUNT(F10,F13:F14)&gt;=3,AVERAGE(F10,F13:F14),"n.a.")</f>
        <v>380.80933333333337</v>
      </c>
      <c r="G15" s="221">
        <f>IF(COUNT(G10,G13:G14)&gt;=3,AVERAGE(G10,G13:G14),"n.a.")</f>
        <v>649.35733333333337</v>
      </c>
      <c r="H15" s="221">
        <f>IF(COUNT(H10,H13:H14)&gt;=3,AVERAGE(H10,H13:H14),"n.a.")</f>
        <v>804.19233333333341</v>
      </c>
    </row>
    <row r="16" spans="1:10" ht="15" customHeight="1" x14ac:dyDescent="0.15">
      <c r="A16" s="96" t="s">
        <v>565</v>
      </c>
      <c r="B16" s="221" t="str">
        <f>IF(COUNT(B10,B13:B14)&gt;=3,MEDIAN(B10,B13:B14),"n.a.")</f>
        <v>n.a.</v>
      </c>
      <c r="C16" s="221" t="str">
        <f>IF(COUNT(C10,C13:C14)&gt;=3,MEDIAN(C10,C13:C14),"n.a.")</f>
        <v>n.a.</v>
      </c>
      <c r="D16" s="221"/>
      <c r="E16" s="221">
        <f>IF(COUNT(E10,E13:E14)&gt;=3,MEDIAN(E10,E13:E14),"n.a.")</f>
        <v>193.73699999999999</v>
      </c>
      <c r="F16" s="221">
        <f>IF(COUNT(F10,F13:F14)&gt;=3,MEDIAN(F10,F13:F14),"n.a.")</f>
        <v>380.55</v>
      </c>
      <c r="G16" s="221">
        <f>IF(COUNT(G10,G13:G14)&gt;=3,MEDIAN(G10,G13:G14),"n.a.")</f>
        <v>662.85500000000002</v>
      </c>
      <c r="H16" s="221">
        <f>IF(COUNT(H10,H13:H14)&gt;=3,MEDIAN(H10,H13:H14),"n.a.")</f>
        <v>845.03300000000002</v>
      </c>
    </row>
    <row r="17" spans="1:10" ht="15" customHeight="1" x14ac:dyDescent="0.15">
      <c r="A17" s="97" t="s">
        <v>566</v>
      </c>
      <c r="B17" s="222">
        <f>Segment!L8*0.001</f>
        <v>102.03263201839999</v>
      </c>
      <c r="C17" s="222">
        <f>Segment!M8*0.001</f>
        <v>111.32548526008</v>
      </c>
      <c r="D17" s="219"/>
      <c r="E17" s="222">
        <f>Segment!X8*0.001</f>
        <v>193.73699999999999</v>
      </c>
      <c r="F17" s="222">
        <f>Segment!Y8*0.001</f>
        <v>377.62711727848</v>
      </c>
      <c r="G17" s="222">
        <f>Segment!Z8*0.001</f>
        <v>656.77938875341624</v>
      </c>
      <c r="H17" s="222">
        <f>Segment!AA8*0.001</f>
        <v>883.10488318001899</v>
      </c>
      <c r="J17" s="102"/>
    </row>
    <row r="18" spans="1:10" ht="15" customHeight="1" x14ac:dyDescent="0.15">
      <c r="A18" s="96" t="s">
        <v>567</v>
      </c>
      <c r="B18" s="223" t="str">
        <f>IF(OR(B15="n.a.",B17="n.a."),"n.a.",B17/B15-1)</f>
        <v>n.a.</v>
      </c>
      <c r="C18" s="223" t="str">
        <f>IF(OR(C15="n.a.",C17="n.a."),"n.a.",C17/C15-1)</f>
        <v>n.a.</v>
      </c>
      <c r="D18" s="223"/>
      <c r="E18" s="223">
        <f>IF(OR(E15="n.a.",E17="n.a."),"n.a.",E17/E15-1)</f>
        <v>0</v>
      </c>
      <c r="F18" s="223">
        <f>IF(OR(F15="n.a.",F17="n.a."),"n.a.",F17/F15-1)</f>
        <v>-8.356454992839879E-3</v>
      </c>
      <c r="G18" s="223">
        <f>IF(OR(G15="n.a.",G17="n.a."),"n.a.",G17/G15-1)</f>
        <v>1.1429847695695328E-2</v>
      </c>
      <c r="H18" s="223">
        <f>IF(OR(H15="n.a.",H17="n.a."),"n.a.",H17/H15-1)</f>
        <v>9.8126463752268522E-2</v>
      </c>
      <c r="J18" s="102"/>
    </row>
    <row r="19" spans="1:10" ht="15" customHeight="1" x14ac:dyDescent="0.15">
      <c r="A19" s="96" t="s">
        <v>568</v>
      </c>
    </row>
    <row r="20" spans="1:10" ht="15" customHeight="1" x14ac:dyDescent="0.15">
      <c r="A20" s="97" t="s">
        <v>554</v>
      </c>
      <c r="B20" s="219">
        <f>IF(OR(B10="",Raw_Data!B275=""),"n.a.",B10/Raw_Data!B275-1)</f>
        <v>0.97118031826613271</v>
      </c>
      <c r="C20" s="219">
        <f>IF(OR(C10="",Raw_Data!B276=""),"n.a.",C10/Raw_Data!B276-1)</f>
        <v>0.89844978656481689</v>
      </c>
      <c r="D20" s="219"/>
      <c r="E20" s="219"/>
      <c r="F20" s="219">
        <f t="shared" ref="F20:H24" si="0">IF(OR(F10="",E10=""),"n.a.",F10/E10-1)</f>
        <v>0.97960637358893776</v>
      </c>
      <c r="G20" s="219">
        <f t="shared" si="0"/>
        <v>0.74062311777911605</v>
      </c>
      <c r="H20" s="219">
        <f t="shared" si="0"/>
        <v>0.27087387221395831</v>
      </c>
      <c r="J20" s="102"/>
    </row>
    <row r="21" spans="1:10" ht="15" customHeight="1" x14ac:dyDescent="0.15">
      <c r="A21" s="220" t="s">
        <v>556</v>
      </c>
      <c r="B21" s="219">
        <f>IF(OR(B11="",Raw_Data!B281=""),"n.a.",B11/Raw_Data!B281-1)</f>
        <v>0.90689783396857848</v>
      </c>
      <c r="C21" s="219">
        <f>IF(OR(C11="",Raw_Data!B282=""),"n.a.",C11/Raw_Data!B282-1)</f>
        <v>0.88354696692250734</v>
      </c>
      <c r="D21" s="219"/>
      <c r="E21" s="219"/>
      <c r="F21" s="219">
        <f t="shared" si="0"/>
        <v>0.91410744422681267</v>
      </c>
      <c r="G21" s="219">
        <f t="shared" si="0"/>
        <v>0.77958766004961988</v>
      </c>
      <c r="H21" s="219">
        <f t="shared" si="0"/>
        <v>0.28905845975806033</v>
      </c>
      <c r="J21" s="102" t="s">
        <v>569</v>
      </c>
    </row>
    <row r="22" spans="1:10" ht="15" customHeight="1" x14ac:dyDescent="0.15">
      <c r="A22" s="220" t="s">
        <v>558</v>
      </c>
      <c r="B22" s="219">
        <f>IF(OR(B12="",Raw_Data!B283=""),"n.a.",B12/Raw_Data!B283-1)</f>
        <v>1.3090265054354466</v>
      </c>
      <c r="C22" s="219">
        <f>IF(OR(C12="",Raw_Data!B284=""),"n.a.",C12/Raw_Data!B284-1)</f>
        <v>0.96812386156648444</v>
      </c>
      <c r="D22" s="219"/>
      <c r="E22" s="219"/>
      <c r="F22" s="219">
        <f t="shared" si="0"/>
        <v>1.3184526654558204</v>
      </c>
      <c r="G22" s="219">
        <f t="shared" si="0"/>
        <v>0.57420285871357879</v>
      </c>
      <c r="H22" s="219">
        <f t="shared" si="0"/>
        <v>0.18308174508246089</v>
      </c>
      <c r="J22" s="102" t="s">
        <v>570</v>
      </c>
    </row>
    <row r="23" spans="1:10" ht="15" customHeight="1" x14ac:dyDescent="0.15">
      <c r="A23" s="97" t="s">
        <v>560</v>
      </c>
      <c r="B23" s="219">
        <f>IF(OR(B13="",Raw_Data!B275=""),"n.a.",B13/Raw_Data!B275-1)</f>
        <v>0.96419017865859602</v>
      </c>
      <c r="C23" s="219">
        <f>IF(OR(C13="",Raw_Data!B276=""),"n.a.",C13/Raw_Data!B276-1)</f>
        <v>0.85648489905960146</v>
      </c>
      <c r="D23" s="219"/>
      <c r="E23" s="219"/>
      <c r="F23" s="219">
        <f t="shared" si="0"/>
        <v>0.96426082782328626</v>
      </c>
      <c r="G23" s="219">
        <f t="shared" si="0"/>
        <v>0.74183418736039952</v>
      </c>
      <c r="H23" s="219">
        <f t="shared" si="0"/>
        <v>0.27483838848616959</v>
      </c>
      <c r="J23" s="102"/>
    </row>
    <row r="24" spans="1:10" ht="15" customHeight="1" x14ac:dyDescent="0.15">
      <c r="A24" s="97" t="s">
        <v>562</v>
      </c>
      <c r="B24" s="219"/>
      <c r="C24" s="219"/>
      <c r="D24" s="219"/>
      <c r="E24" s="219"/>
      <c r="F24" s="219">
        <f t="shared" si="0"/>
        <v>0.95293103537269608</v>
      </c>
      <c r="G24" s="219">
        <f t="shared" si="0"/>
        <v>0.63245629104941115</v>
      </c>
      <c r="H24" s="219">
        <f t="shared" si="0"/>
        <v>0.16433308292101656</v>
      </c>
      <c r="J24" s="102"/>
    </row>
    <row r="25" spans="1:10" ht="15" customHeight="1" x14ac:dyDescent="0.15">
      <c r="A25" s="96" t="s">
        <v>564</v>
      </c>
      <c r="B25" s="223">
        <f>IF(COUNT(B20:B24)&gt;=3,AVERAGE(B20:B24),"n.a.")</f>
        <v>1.0378237090821885</v>
      </c>
      <c r="C25" s="223">
        <f>IF(COUNT(C20:C24)&gt;=3,AVERAGE(C20:C24),"n.a.")</f>
        <v>0.90165137852835253</v>
      </c>
      <c r="D25" s="223"/>
      <c r="E25" s="223"/>
      <c r="F25" s="223">
        <f>IF(COUNT(F20:F24)&gt;=3,AVERAGE(F20:F24),"n.a.")</f>
        <v>1.0258716692935106</v>
      </c>
      <c r="G25" s="223">
        <f>IF(COUNT(G20:G24)&gt;=3,AVERAGE(G20:G24),"n.a.")</f>
        <v>0.69374082299042505</v>
      </c>
      <c r="H25" s="223">
        <f>IF(COUNT(H20:H24)&gt;=3,AVERAGE(H20:H24),"n.a.")</f>
        <v>0.23643710969233314</v>
      </c>
    </row>
    <row r="26" spans="1:10" ht="15" customHeight="1" x14ac:dyDescent="0.15">
      <c r="A26" s="96" t="s">
        <v>565</v>
      </c>
      <c r="B26" s="223">
        <f>IF(COUNT(B20:B24)&gt;=3,MEDIAN(B20:B24),"n.a.")</f>
        <v>0.96768524846236437</v>
      </c>
      <c r="C26" s="223">
        <f>IF(COUNT(C20:C24)&gt;=3,MEDIAN(C20:C24),"n.a.")</f>
        <v>0.89099837674366211</v>
      </c>
      <c r="D26" s="223"/>
      <c r="E26" s="223"/>
      <c r="F26" s="223">
        <f>IF(COUNT(F20:F24)&gt;=3,MEDIAN(F20:F24),"n.a.")</f>
        <v>0.96426082782328626</v>
      </c>
      <c r="G26" s="223">
        <f>IF(COUNT(G20:G24)&gt;=3,MEDIAN(G20:G24),"n.a.")</f>
        <v>0.74062311777911605</v>
      </c>
      <c r="H26" s="223">
        <f>IF(COUNT(H20:H24)&gt;=3,MEDIAN(H20:H24),"n.a.")</f>
        <v>0.27087387221395831</v>
      </c>
    </row>
    <row r="27" spans="1:10" ht="15" customHeight="1" x14ac:dyDescent="0.15">
      <c r="A27" s="97" t="s">
        <v>566</v>
      </c>
      <c r="B27" s="219">
        <f>B17/Raw_Data!B275-1</f>
        <v>0.99224117970125914</v>
      </c>
      <c r="C27" s="219">
        <f>C17/Raw_Data!B276-1</f>
        <v>0.78652446095708828</v>
      </c>
      <c r="D27" s="219"/>
      <c r="E27" s="219"/>
      <c r="F27" s="219">
        <f>F17/E17-1</f>
        <v>0.94917396923912323</v>
      </c>
      <c r="G27" s="219">
        <f>G17/F17-1</f>
        <v>0.73922729248566177</v>
      </c>
      <c r="H27" s="219">
        <f>H17/G17-1</f>
        <v>0.34459896017165548</v>
      </c>
      <c r="J27" s="102"/>
    </row>
    <row r="28" spans="1:10" ht="15" customHeight="1" x14ac:dyDescent="0.15">
      <c r="A28" s="96" t="s">
        <v>567</v>
      </c>
      <c r="B28" s="223">
        <f>IF(ISNUMBER(B25),B27-B25,"n.a.")</f>
        <v>-4.5582529380929326E-2</v>
      </c>
      <c r="C28" s="223">
        <f>IF(ISNUMBER(C25),C27-C25,"n.a.")</f>
        <v>-0.11512691757126425</v>
      </c>
      <c r="D28" s="223"/>
      <c r="E28" s="223"/>
      <c r="F28" s="223">
        <f>IF(ISNUMBER(F25),F27-F25,"n.a.")</f>
        <v>-7.6697700054387363E-2</v>
      </c>
      <c r="G28" s="223">
        <f>IF(ISNUMBER(G25),G27-G25,"n.a.")</f>
        <v>4.5486469495236714E-2</v>
      </c>
      <c r="H28" s="223">
        <f>IF(ISNUMBER(H25),H27-H25,"n.a.")</f>
        <v>0.10816185047932234</v>
      </c>
      <c r="J28" s="102"/>
    </row>
    <row r="29" spans="1:10" ht="15" customHeight="1" x14ac:dyDescent="0.15">
      <c r="A29" s="96" t="s">
        <v>571</v>
      </c>
    </row>
    <row r="30" spans="1:10" ht="15" customHeight="1" x14ac:dyDescent="0.15">
      <c r="A30" s="97" t="s">
        <v>554</v>
      </c>
      <c r="B30" s="218">
        <f>Raw_Data!F268</f>
        <v>7.9180000000000001</v>
      </c>
      <c r="C30" s="218">
        <f>Raw_Data!G268</f>
        <v>8.0760000000000005</v>
      </c>
      <c r="D30" s="218"/>
      <c r="E30" s="218">
        <f>Raw_Data!B334</f>
        <v>22.201000000000001</v>
      </c>
      <c r="F30" s="218">
        <f>Raw_Data!C268</f>
        <v>29.561</v>
      </c>
      <c r="G30" s="218">
        <f>Raw_Data!D268</f>
        <v>35.151000000000003</v>
      </c>
      <c r="H30" s="218">
        <f>Raw_Data!E268</f>
        <v>45.012999999999998</v>
      </c>
      <c r="J30" s="102" t="s">
        <v>572</v>
      </c>
    </row>
    <row r="31" spans="1:10" ht="15" customHeight="1" x14ac:dyDescent="0.15">
      <c r="A31" s="97" t="s">
        <v>560</v>
      </c>
      <c r="B31" s="218">
        <f>Raw_Data!F269</f>
        <v>7.4089999999999998</v>
      </c>
      <c r="C31" s="218">
        <f>Raw_Data!G269</f>
        <v>7.2149999999999999</v>
      </c>
      <c r="D31" s="218"/>
      <c r="E31" s="218">
        <f>Raw_Data!B334</f>
        <v>22.201000000000001</v>
      </c>
      <c r="F31" s="218">
        <f>Raw_Data!C269</f>
        <v>28.190999999999999</v>
      </c>
      <c r="G31" s="218">
        <f>Raw_Data!D269</f>
        <v>31.972000000000001</v>
      </c>
      <c r="H31" s="218">
        <f>Raw_Data!E269</f>
        <v>37.012</v>
      </c>
      <c r="J31" s="102" t="s">
        <v>573</v>
      </c>
    </row>
    <row r="32" spans="1:10" ht="15" customHeight="1" x14ac:dyDescent="0.15">
      <c r="A32" s="97" t="s">
        <v>562</v>
      </c>
      <c r="B32" s="218"/>
      <c r="C32" s="218"/>
      <c r="D32" s="218"/>
      <c r="E32" s="218">
        <f>Raw_Data!B334</f>
        <v>22.201000000000001</v>
      </c>
      <c r="F32" s="218">
        <f>Raw_Data!C270</f>
        <v>28.8</v>
      </c>
      <c r="G32" s="218">
        <f>Raw_Data!D270</f>
        <v>33.07</v>
      </c>
      <c r="H32" s="218">
        <f>Raw_Data!E270</f>
        <v>36.591999999999999</v>
      </c>
      <c r="J32" s="102" t="s">
        <v>574</v>
      </c>
    </row>
    <row r="33" spans="1:10" ht="15" customHeight="1" x14ac:dyDescent="0.15">
      <c r="A33" s="96" t="s">
        <v>564</v>
      </c>
      <c r="B33" s="221" t="str">
        <f>IF(COUNT(B30:B32)&gt;=3,AVERAGE(B30:B32),"n.a.")</f>
        <v>n.a.</v>
      </c>
      <c r="C33" s="221" t="str">
        <f>IF(COUNT(C30:C32)&gt;=3,AVERAGE(C30:C32),"n.a.")</f>
        <v>n.a.</v>
      </c>
      <c r="D33" s="223"/>
      <c r="E33" s="221">
        <f>IF(COUNT(E30:E32)&gt;=3,AVERAGE(E30:E32),"n.a.")</f>
        <v>22.201000000000004</v>
      </c>
      <c r="F33" s="221">
        <f>IF(COUNT(F30:F32)&gt;=3,AVERAGE(F30:F32),"n.a.")</f>
        <v>28.850666666666665</v>
      </c>
      <c r="G33" s="221">
        <f>IF(COUNT(G30:G32)&gt;=3,AVERAGE(G30:G32),"n.a.")</f>
        <v>33.397666666666673</v>
      </c>
      <c r="H33" s="221">
        <f>IF(COUNT(H30:H32)&gt;=3,AVERAGE(H30:H32),"n.a.")</f>
        <v>39.539000000000001</v>
      </c>
    </row>
    <row r="34" spans="1:10" ht="15" customHeight="1" x14ac:dyDescent="0.15">
      <c r="A34" s="96" t="s">
        <v>565</v>
      </c>
      <c r="B34" s="221" t="str">
        <f>IF(COUNT(B30:B32)&gt;=3,MEDIAN(B30:B32),"n.a.")</f>
        <v>n.a.</v>
      </c>
      <c r="C34" s="221" t="str">
        <f>IF(COUNT(C30:C32)&gt;=3,MEDIAN(C30:C32),"n.a.")</f>
        <v>n.a.</v>
      </c>
      <c r="D34" s="223"/>
      <c r="E34" s="221">
        <f>IF(COUNT(E30:E32)&gt;=3,MEDIAN(E30:E32),"n.a.")</f>
        <v>22.201000000000001</v>
      </c>
      <c r="F34" s="221">
        <f>IF(COUNT(F30:F32)&gt;=3,MEDIAN(F30:F32),"n.a.")</f>
        <v>28.8</v>
      </c>
      <c r="G34" s="221">
        <f>IF(COUNT(G30:G32)&gt;=3,MEDIAN(G30:G32),"n.a.")</f>
        <v>33.07</v>
      </c>
      <c r="H34" s="221">
        <f>IF(COUNT(H30:H32)&gt;=3,MEDIAN(H30:H32),"n.a.")</f>
        <v>37.012</v>
      </c>
    </row>
    <row r="35" spans="1:10" ht="15" customHeight="1" x14ac:dyDescent="0.15">
      <c r="A35" s="97" t="s">
        <v>566</v>
      </c>
      <c r="B35" s="222">
        <f>Segment!L9*0.001</f>
        <v>7.5977920000000001</v>
      </c>
      <c r="C35" s="222">
        <f>Segment!M9*0.001</f>
        <v>7.8998670000000004</v>
      </c>
      <c r="D35" s="219"/>
      <c r="E35" s="222">
        <f>Segment!X9*0.001</f>
        <v>22.201000000000001</v>
      </c>
      <c r="F35" s="222">
        <f>Segment!Y9*0.001</f>
        <v>29.064658999999999</v>
      </c>
      <c r="G35" s="222">
        <f>Segment!Z9*0.001</f>
        <v>34.596630919999996</v>
      </c>
      <c r="H35" s="222">
        <f>Segment!AA9*0.001</f>
        <v>39.389843357983999</v>
      </c>
      <c r="J35" s="102" t="s">
        <v>575</v>
      </c>
    </row>
    <row r="36" spans="1:10" ht="15" customHeight="1" x14ac:dyDescent="0.15">
      <c r="A36" s="96" t="s">
        <v>567</v>
      </c>
      <c r="B36" s="223" t="str">
        <f>IF(OR(B33="n.a.",B35="n.a."),"n.a.",B35/B33-1)</f>
        <v>n.a.</v>
      </c>
      <c r="C36" s="223" t="str">
        <f>IF(OR(C33="n.a.",C35="n.a."),"n.a.",C35/C33-1)</f>
        <v>n.a.</v>
      </c>
      <c r="D36" s="223"/>
      <c r="E36" s="223">
        <f>IF(OR(E33="n.a.",E35="n.a."),"n.a.",E35/E33-1)</f>
        <v>-1.1102230246251565E-16</v>
      </c>
      <c r="F36" s="223">
        <f>IF(OR(F33="n.a.",F35="n.a."),"n.a.",F35/F33-1)</f>
        <v>7.4172405028192223E-3</v>
      </c>
      <c r="G36" s="223">
        <f>IF(OR(G33="n.a.",G35="n.a."),"n.a.",G35/G33-1)</f>
        <v>3.5899641292305606E-2</v>
      </c>
      <c r="H36" s="223">
        <f>IF(OR(H33="n.a.",H35="n.a."),"n.a.",H35/H33-1)</f>
        <v>-3.7723928783227612E-3</v>
      </c>
      <c r="J36" s="102" t="s">
        <v>576</v>
      </c>
    </row>
    <row r="37" spans="1:10" ht="15" customHeight="1" x14ac:dyDescent="0.15">
      <c r="A37" s="96" t="s">
        <v>577</v>
      </c>
    </row>
    <row r="38" spans="1:10" ht="15" customHeight="1" x14ac:dyDescent="0.15">
      <c r="A38" s="97" t="s">
        <v>554</v>
      </c>
      <c r="B38" s="219">
        <f>IF(OR(B30="",Raw_Data!B336=""),"n.a.",B30/Raw_Data!B336-1)</f>
        <v>0.36729407701605932</v>
      </c>
      <c r="C38" s="219">
        <f>IF(OR(C30="",Raw_Data!B337=""),"n.a.",C30/Raw_Data!B337-1)</f>
        <v>0.38929984517460881</v>
      </c>
      <c r="D38" s="219"/>
      <c r="E38" s="219"/>
      <c r="F38" s="219">
        <f t="shared" ref="F38:H40" si="1">IF(OR(F30="",E30=""),"n.a.",F30/E30-1)</f>
        <v>0.33151659835142566</v>
      </c>
      <c r="G38" s="219">
        <f t="shared" si="1"/>
        <v>0.18910050404248846</v>
      </c>
      <c r="H38" s="219">
        <f t="shared" si="1"/>
        <v>0.28056100822167207</v>
      </c>
      <c r="J38" s="102" t="s">
        <v>578</v>
      </c>
    </row>
    <row r="39" spans="1:10" ht="15" customHeight="1" x14ac:dyDescent="0.15">
      <c r="A39" s="97" t="s">
        <v>560</v>
      </c>
      <c r="B39" s="219">
        <f>IF(OR(B31="",Raw_Data!B336=""),"n.a.",B31/Raw_Data!B336-1)</f>
        <v>0.27939906751856314</v>
      </c>
      <c r="C39" s="219">
        <f>IF(OR(C31="",Raw_Data!B337=""),"n.a.",C31/Raw_Data!B337-1)</f>
        <v>0.24118355410287284</v>
      </c>
      <c r="D39" s="219"/>
      <c r="E39" s="219"/>
      <c r="F39" s="219">
        <f t="shared" si="1"/>
        <v>0.2698076663213369</v>
      </c>
      <c r="G39" s="219">
        <f t="shared" si="1"/>
        <v>0.1341208187010039</v>
      </c>
      <c r="H39" s="219">
        <f t="shared" si="1"/>
        <v>0.15763793319154251</v>
      </c>
      <c r="J39" s="102" t="s">
        <v>573</v>
      </c>
    </row>
    <row r="40" spans="1:10" ht="15" customHeight="1" x14ac:dyDescent="0.15">
      <c r="A40" s="97" t="s">
        <v>562</v>
      </c>
      <c r="B40" s="219" t="str">
        <f>IF(OR(B32="",Raw_Data!B336=""),"n.a.",B32/Raw_Data!B336-1)</f>
        <v>n.a.</v>
      </c>
      <c r="C40" s="219" t="str">
        <f>IF(OR(C32="",Raw_Data!B337=""),"n.a.",C32/Raw_Data!B337-1)</f>
        <v>n.a.</v>
      </c>
      <c r="D40" s="219"/>
      <c r="E40" s="219"/>
      <c r="F40" s="219">
        <f t="shared" si="1"/>
        <v>0.29723886311427417</v>
      </c>
      <c r="G40" s="219">
        <f t="shared" si="1"/>
        <v>0.14826388888888897</v>
      </c>
      <c r="H40" s="219">
        <f t="shared" si="1"/>
        <v>0.10650136074992433</v>
      </c>
      <c r="J40" s="102" t="s">
        <v>574</v>
      </c>
    </row>
    <row r="41" spans="1:10" ht="15" customHeight="1" x14ac:dyDescent="0.15">
      <c r="A41" s="96" t="s">
        <v>564</v>
      </c>
      <c r="B41" s="223" t="str">
        <f>IF(COUNT(B38:B40)&gt;=3,AVERAGE(B38:B40),"n.a.")</f>
        <v>n.a.</v>
      </c>
      <c r="C41" s="223" t="str">
        <f>IF(COUNT(C38:C40)&gt;=3,AVERAGE(C38:C40),"n.a.")</f>
        <v>n.a.</v>
      </c>
      <c r="D41" s="223"/>
      <c r="E41" s="223"/>
      <c r="F41" s="223">
        <f>IF(COUNT(F38:F40)&gt;=3,AVERAGE(F38:F40),"n.a.")</f>
        <v>0.29952104259567891</v>
      </c>
      <c r="G41" s="223">
        <f>IF(COUNT(G38:G40)&gt;=3,AVERAGE(G38:G40),"n.a.")</f>
        <v>0.15716173721079377</v>
      </c>
      <c r="H41" s="223">
        <f>IF(COUNT(H38:H40)&gt;=3,AVERAGE(H38:H40),"n.a.")</f>
        <v>0.18156676738771296</v>
      </c>
    </row>
    <row r="42" spans="1:10" ht="15" customHeight="1" x14ac:dyDescent="0.15">
      <c r="A42" s="96" t="s">
        <v>565</v>
      </c>
      <c r="B42" s="223" t="str">
        <f>IF(COUNT(B38:B40)&gt;=3,MEDIAN(B38:B40),"n.a.")</f>
        <v>n.a.</v>
      </c>
      <c r="C42" s="223" t="str">
        <f>IF(COUNT(C38:C40)&gt;=3,MEDIAN(C38:C40),"n.a.")</f>
        <v>n.a.</v>
      </c>
      <c r="D42" s="223"/>
      <c r="E42" s="223"/>
      <c r="F42" s="223">
        <f>IF(COUNT(F38:F40)&gt;=3,MEDIAN(F38:F40),"n.a.")</f>
        <v>0.29723886311427417</v>
      </c>
      <c r="G42" s="223">
        <f>IF(COUNT(G38:G40)&gt;=3,MEDIAN(G38:G40),"n.a.")</f>
        <v>0.14826388888888897</v>
      </c>
      <c r="H42" s="223">
        <f>IF(COUNT(H38:H40)&gt;=3,MEDIAN(H38:H40),"n.a.")</f>
        <v>0.15763793319154251</v>
      </c>
    </row>
    <row r="43" spans="1:10" ht="15" customHeight="1" x14ac:dyDescent="0.15">
      <c r="A43" s="97" t="s">
        <v>566</v>
      </c>
      <c r="B43" s="219">
        <f>B35/Raw_Data!B336-1</f>
        <v>0.31199999999999983</v>
      </c>
      <c r="C43" s="219">
        <f>C35/Raw_Data!B337-1</f>
        <v>0.35900000000000021</v>
      </c>
      <c r="D43" s="219"/>
      <c r="E43" s="219"/>
      <c r="F43" s="219">
        <f>F35/E35-1</f>
        <v>0.30915990270708527</v>
      </c>
      <c r="G43" s="219">
        <f>G35/F35-1</f>
        <v>0.19033328139167227</v>
      </c>
      <c r="H43" s="219">
        <f>H35/G35-1</f>
        <v>0.13854564188829999</v>
      </c>
      <c r="J43" s="102" t="s">
        <v>575</v>
      </c>
    </row>
    <row r="44" spans="1:10" ht="15" customHeight="1" x14ac:dyDescent="0.15">
      <c r="A44" s="96" t="s">
        <v>567</v>
      </c>
      <c r="B44" s="223" t="str">
        <f>IF(ISNUMBER(B41),B43-B41,"n.a.")</f>
        <v>n.a.</v>
      </c>
      <c r="C44" s="223" t="str">
        <f>IF(ISNUMBER(C41),C43-C41,"n.a.")</f>
        <v>n.a.</v>
      </c>
      <c r="D44" s="223"/>
      <c r="E44" s="223"/>
      <c r="F44" s="223">
        <f>IF(ISNUMBER(F41),F43-F41,"n.a.")</f>
        <v>9.6388601114063555E-3</v>
      </c>
      <c r="G44" s="223">
        <f>IF(ISNUMBER(G41),G43-G41,"n.a.")</f>
        <v>3.3171544180878504E-2</v>
      </c>
      <c r="H44" s="223">
        <f>IF(ISNUMBER(H41),H43-H41,"n.a.")</f>
        <v>-4.3021125499412977E-2</v>
      </c>
      <c r="J44" s="102" t="s">
        <v>576</v>
      </c>
    </row>
    <row r="45" spans="1:10" ht="15" customHeight="1" x14ac:dyDescent="0.15">
      <c r="A45" s="97"/>
      <c r="B45" s="219"/>
      <c r="C45" s="219"/>
      <c r="D45" s="219"/>
      <c r="E45" s="224"/>
      <c r="F45" s="224"/>
      <c r="G45" s="224"/>
      <c r="H45" s="224"/>
      <c r="J45" s="102"/>
    </row>
    <row r="46" spans="1:10" ht="15" customHeight="1" x14ac:dyDescent="0.15">
      <c r="A46" s="97"/>
      <c r="B46" s="219"/>
      <c r="C46" s="219"/>
      <c r="D46" s="219"/>
      <c r="E46" s="224"/>
      <c r="F46" s="224"/>
      <c r="G46" s="224"/>
      <c r="H46" s="224"/>
      <c r="J46" s="102"/>
    </row>
    <row r="47" spans="1:10" ht="15" customHeight="1" x14ac:dyDescent="0.15">
      <c r="A47" s="214" t="s">
        <v>372</v>
      </c>
      <c r="B47" s="70"/>
      <c r="C47" s="70"/>
      <c r="E47" s="70"/>
      <c r="F47" s="70"/>
      <c r="G47" s="70"/>
      <c r="H47" s="70"/>
      <c r="I47" s="70"/>
      <c r="J47" s="70"/>
    </row>
    <row r="48" spans="1:10" ht="15" customHeight="1" x14ac:dyDescent="0.15">
      <c r="A48" s="96" t="s">
        <v>579</v>
      </c>
    </row>
    <row r="49" spans="1:10" ht="15" customHeight="1" x14ac:dyDescent="0.15">
      <c r="A49" s="97" t="s">
        <v>580</v>
      </c>
      <c r="E49" s="225">
        <f>Raw_Data!B333</f>
        <v>0.71299999999999997</v>
      </c>
      <c r="F49" s="225">
        <f>IF(Raw_Data!C285="","",Raw_Data!C285)</f>
        <v>0.73899999999999999</v>
      </c>
      <c r="G49" s="225">
        <f>IF(Raw_Data!D285="","",Raw_Data!D285)</f>
        <v>0.72799999999999998</v>
      </c>
      <c r="H49" s="225">
        <f>IF(Raw_Data!E285="","",Raw_Data!E285)</f>
        <v>0.72899999999999998</v>
      </c>
      <c r="J49" s="102" t="s">
        <v>581</v>
      </c>
    </row>
    <row r="50" spans="1:10" ht="15" customHeight="1" x14ac:dyDescent="0.15">
      <c r="A50" s="97" t="s">
        <v>582</v>
      </c>
      <c r="E50" s="225">
        <f>Raw_Data!B333</f>
        <v>0.71299999999999997</v>
      </c>
      <c r="F50" s="225">
        <f>IF(Raw_Data!C286="","",Raw_Data!C286)</f>
        <v>0.73699999999999999</v>
      </c>
      <c r="G50" s="225">
        <f>IF(Raw_Data!D286="","",Raw_Data!D286)</f>
        <v>0.72499999999999998</v>
      </c>
      <c r="H50" s="225">
        <f>IF(Raw_Data!E286="","",Raw_Data!E286)</f>
        <v>0.72699999999999998</v>
      </c>
      <c r="J50" s="102" t="s">
        <v>583</v>
      </c>
    </row>
    <row r="51" spans="1:10" ht="15" customHeight="1" x14ac:dyDescent="0.15">
      <c r="A51" s="97" t="s">
        <v>584</v>
      </c>
      <c r="B51" s="225">
        <f>IF(Raw_Data!F287="","",Raw_Data!F287)</f>
        <v>0.74</v>
      </c>
      <c r="C51" s="225">
        <f>IF(Raw_Data!G287="","",Raw_Data!G287)</f>
        <v>0.71499999999999997</v>
      </c>
      <c r="D51" s="225"/>
      <c r="E51" s="225">
        <f>Raw_Data!B333</f>
        <v>0.71299999999999997</v>
      </c>
      <c r="F51" s="225">
        <f>IF(Raw_Data!C287="","",Raw_Data!C287)</f>
        <v>0.73699999999999999</v>
      </c>
      <c r="G51" s="225">
        <f>IF(Raw_Data!D287="","",Raw_Data!D287)</f>
        <v>0.72499999999999998</v>
      </c>
      <c r="H51" s="225">
        <f>IF(Raw_Data!E287="","",Raw_Data!E287)</f>
        <v>0.73</v>
      </c>
      <c r="J51" s="102" t="s">
        <v>585</v>
      </c>
    </row>
    <row r="52" spans="1:10" ht="15" customHeight="1" x14ac:dyDescent="0.15">
      <c r="A52" s="97" t="s">
        <v>586</v>
      </c>
      <c r="E52" s="225">
        <f>Raw_Data!B333</f>
        <v>0.71299999999999997</v>
      </c>
      <c r="F52" s="225">
        <f>IF(Raw_Data!C288="","",Raw_Data!C288)</f>
        <v>0.73599999999999999</v>
      </c>
      <c r="G52" s="225">
        <f>IF(Raw_Data!D288="","",Raw_Data!D288)</f>
        <v>0.72499999999999998</v>
      </c>
      <c r="H52" s="225">
        <f>IF(Raw_Data!E288="","",Raw_Data!E288)</f>
        <v>0.72899999999999998</v>
      </c>
      <c r="J52" s="102" t="s">
        <v>587</v>
      </c>
    </row>
    <row r="53" spans="1:10" ht="15" customHeight="1" x14ac:dyDescent="0.15">
      <c r="A53" s="97" t="s">
        <v>588</v>
      </c>
      <c r="B53" s="225">
        <f>IF(Raw_Data!F289="","",Raw_Data!F289)</f>
        <v>0.74</v>
      </c>
      <c r="C53" s="225">
        <f>IF(Raw_Data!G289="","",Raw_Data!G289)</f>
        <v>0.71299999999999997</v>
      </c>
      <c r="D53" s="225"/>
      <c r="E53" s="225">
        <f>Raw_Data!B333</f>
        <v>0.71299999999999997</v>
      </c>
      <c r="F53" s="225">
        <f>IF(Raw_Data!C289="","",Raw_Data!C289)</f>
        <v>0.73599999999999999</v>
      </c>
      <c r="G53" s="225">
        <f>IF(Raw_Data!D289="","",Raw_Data!D289)</f>
        <v>0.72399999999999998</v>
      </c>
      <c r="H53" s="225">
        <f>IF(Raw_Data!E289="","",Raw_Data!E289)</f>
        <v>0.73</v>
      </c>
      <c r="J53" s="102" t="s">
        <v>589</v>
      </c>
    </row>
    <row r="54" spans="1:10" ht="15" customHeight="1" x14ac:dyDescent="0.15">
      <c r="A54" s="97" t="s">
        <v>560</v>
      </c>
      <c r="B54" s="225">
        <f>IF(Raw_Data!F290="","",Raw_Data!F290)</f>
        <v>0.74</v>
      </c>
      <c r="C54" s="225">
        <f>IF(Raw_Data!G290="","",Raw_Data!G290)</f>
        <v>0.71499999999999997</v>
      </c>
      <c r="D54" s="225"/>
      <c r="E54" s="225">
        <f>Raw_Data!B333</f>
        <v>0.71299999999999997</v>
      </c>
      <c r="F54" s="225">
        <f>IF(Raw_Data!C290="","",Raw_Data!C290)</f>
        <v>0.73699999999999999</v>
      </c>
      <c r="G54" s="225">
        <f>IF(Raw_Data!D290="","",Raw_Data!D290)</f>
        <v>0.72299999999999998</v>
      </c>
      <c r="H54" s="225">
        <f>IF(Raw_Data!E290="","",Raw_Data!E290)</f>
        <v>0.72199999999999998</v>
      </c>
      <c r="J54" s="102" t="s">
        <v>561</v>
      </c>
    </row>
    <row r="55" spans="1:10" ht="15" customHeight="1" x14ac:dyDescent="0.15">
      <c r="A55" s="97" t="s">
        <v>554</v>
      </c>
      <c r="B55" s="225">
        <f>IF(Raw_Data!F291="","",Raw_Data!F291)</f>
        <v>0.74</v>
      </c>
      <c r="C55" s="225">
        <f>IF(Raw_Data!G291="","",Raw_Data!G291)</f>
        <v>0.71599999999999997</v>
      </c>
      <c r="D55" s="225"/>
      <c r="E55" s="225">
        <f>Raw_Data!B333</f>
        <v>0.71299999999999997</v>
      </c>
      <c r="F55" s="225">
        <f>IF(Raw_Data!C291="","",Raw_Data!C291)</f>
        <v>0.73699999999999999</v>
      </c>
      <c r="G55" s="225">
        <f>IF(Raw_Data!D291="","",Raw_Data!D291)</f>
        <v>0.72299999999999998</v>
      </c>
      <c r="H55" s="225">
        <f>IF(Raw_Data!E291="","",Raw_Data!E291)</f>
        <v>0.72699999999999998</v>
      </c>
      <c r="J55" s="102" t="s">
        <v>555</v>
      </c>
    </row>
    <row r="56" spans="1:10" ht="15" customHeight="1" x14ac:dyDescent="0.15">
      <c r="A56" s="97" t="s">
        <v>562</v>
      </c>
      <c r="B56" s="225">
        <f>IF(Raw_Data!F292="","",Raw_Data!F292)</f>
        <v>0.74</v>
      </c>
      <c r="C56" s="225">
        <f>IF(Raw_Data!G292="","",Raw_Data!G292)</f>
        <v>0.72</v>
      </c>
      <c r="D56" s="225"/>
      <c r="E56" s="225">
        <f>Raw_Data!B333</f>
        <v>0.71299999999999997</v>
      </c>
      <c r="F56" s="225">
        <f>IF(Raw_Data!C292="","",Raw_Data!C292)</f>
        <v>0.73899999999999999</v>
      </c>
      <c r="G56" s="225">
        <f>IF(Raw_Data!D292="","",Raw_Data!D292)</f>
        <v>0.72399999999999998</v>
      </c>
      <c r="H56" s="225">
        <f>IF(Raw_Data!E292="","",Raw_Data!E292)</f>
        <v>0.73399999999999999</v>
      </c>
      <c r="J56" s="102" t="s">
        <v>563</v>
      </c>
    </row>
    <row r="57" spans="1:10" ht="15" customHeight="1" x14ac:dyDescent="0.15">
      <c r="A57" s="97" t="s">
        <v>590</v>
      </c>
      <c r="B57" s="225">
        <f>IF(Raw_Data!F293="","",Raw_Data!F293)</f>
        <v>0.74</v>
      </c>
      <c r="C57" s="225">
        <f>IF(Raw_Data!G293="","",Raw_Data!G293)</f>
        <v>0.71499999999999997</v>
      </c>
      <c r="D57" s="225"/>
      <c r="E57" s="225">
        <f>Raw_Data!B333</f>
        <v>0.71299999999999997</v>
      </c>
      <c r="F57" s="225">
        <f>IF(Raw_Data!C293="","",Raw_Data!C293)</f>
        <v>0.73699999999999999</v>
      </c>
      <c r="G57" s="225">
        <f>IF(Raw_Data!D293="","",Raw_Data!D293)</f>
        <v>0.72399999999999998</v>
      </c>
      <c r="H57" s="225">
        <f>IF(Raw_Data!E293="","",Raw_Data!E293)</f>
        <v>0.72499999999999998</v>
      </c>
      <c r="J57" s="102" t="s">
        <v>591</v>
      </c>
    </row>
    <row r="58" spans="1:10" ht="15" customHeight="1" x14ac:dyDescent="0.15">
      <c r="A58" s="97" t="s">
        <v>592</v>
      </c>
      <c r="B58" s="226" t="s">
        <v>247</v>
      </c>
      <c r="C58" s="226" t="s">
        <v>247</v>
      </c>
      <c r="D58" s="224"/>
      <c r="E58" s="225">
        <f>Raw_Data!B333</f>
        <v>0.71299999999999997</v>
      </c>
      <c r="F58" s="226" t="s">
        <v>247</v>
      </c>
      <c r="G58" s="226" t="s">
        <v>247</v>
      </c>
      <c r="H58" s="226" t="s">
        <v>247</v>
      </c>
      <c r="J58" s="102" t="s">
        <v>593</v>
      </c>
    </row>
    <row r="59" spans="1:10" ht="15" customHeight="1" x14ac:dyDescent="0.15">
      <c r="A59" s="97" t="s">
        <v>594</v>
      </c>
      <c r="B59" s="226" t="s">
        <v>247</v>
      </c>
      <c r="C59" s="226" t="s">
        <v>247</v>
      </c>
      <c r="D59" s="224"/>
      <c r="E59" s="225">
        <f>Raw_Data!B333</f>
        <v>0.71299999999999997</v>
      </c>
      <c r="F59" s="226" t="s">
        <v>247</v>
      </c>
      <c r="G59" s="226" t="s">
        <v>247</v>
      </c>
      <c r="H59" s="226" t="s">
        <v>247</v>
      </c>
      <c r="J59" s="102" t="s">
        <v>595</v>
      </c>
    </row>
    <row r="60" spans="1:10" ht="15" customHeight="1" x14ac:dyDescent="0.15">
      <c r="A60" s="96" t="s">
        <v>564</v>
      </c>
      <c r="B60" s="223">
        <f>IF(COUNT(B49:B59)&gt;=3,AVERAGE(B49:B59),"n.a.")</f>
        <v>0.7400000000000001</v>
      </c>
      <c r="C60" s="223">
        <f>IF(COUNT(C49:C59)&gt;=3,AVERAGE(C49:C59),"n.a.")</f>
        <v>0.71566666666666656</v>
      </c>
      <c r="D60" s="223"/>
      <c r="E60" s="223">
        <f>IF(COUNT(E49:E59)&gt;=3,AVERAGE(E49:E59),"n.a.")</f>
        <v>0.71299999999999997</v>
      </c>
      <c r="F60" s="223">
        <f>IF(COUNT(F49:F59)&gt;=3,AVERAGE(F49:F59),"n.a.")</f>
        <v>0.73722222222222222</v>
      </c>
      <c r="G60" s="223">
        <f>IF(COUNT(G49:G59)&gt;=3,AVERAGE(G49:G59),"n.a.")</f>
        <v>0.72455555555555551</v>
      </c>
      <c r="H60" s="223">
        <f>IF(COUNT(H49:H59)&gt;=3,AVERAGE(H49:H59),"n.a.")</f>
        <v>0.72811111111111115</v>
      </c>
    </row>
    <row r="61" spans="1:10" ht="15" customHeight="1" x14ac:dyDescent="0.15">
      <c r="A61" s="96" t="s">
        <v>565</v>
      </c>
      <c r="B61" s="223">
        <f>IF(COUNT(B49:B59)&gt;=3,MEDIAN(B49:B59),"n.a.")</f>
        <v>0.74</v>
      </c>
      <c r="C61" s="223">
        <f>IF(COUNT(C49:C59)&gt;=3,MEDIAN(C49:C59),"n.a.")</f>
        <v>0.71499999999999997</v>
      </c>
      <c r="D61" s="223"/>
      <c r="E61" s="223">
        <f>IF(COUNT(E49:E59)&gt;=3,MEDIAN(E49:E59),"n.a.")</f>
        <v>0.71299999999999997</v>
      </c>
      <c r="F61" s="223">
        <f>IF(COUNT(F49:F59)&gt;=3,MEDIAN(F49:F59),"n.a.")</f>
        <v>0.73699999999999999</v>
      </c>
      <c r="G61" s="223">
        <f>IF(COUNT(G49:G59)&gt;=3,MEDIAN(G49:G59),"n.a.")</f>
        <v>0.72399999999999998</v>
      </c>
      <c r="H61" s="223">
        <f>IF(COUNT(H49:H59)&gt;=3,MEDIAN(H49:H59),"n.a.")</f>
        <v>0.72899999999999998</v>
      </c>
    </row>
    <row r="62" spans="1:10" ht="15" customHeight="1" x14ac:dyDescent="0.15">
      <c r="A62" s="97" t="s">
        <v>596</v>
      </c>
      <c r="B62" s="219">
        <f>IS!L24</f>
        <v>0.74</v>
      </c>
      <c r="C62" s="219">
        <f>IS!M24</f>
        <v>0.71499999999999997</v>
      </c>
      <c r="D62" s="219"/>
      <c r="E62" s="219">
        <f>IS!X72</f>
        <v>0.71313988274412099</v>
      </c>
      <c r="F62" s="219">
        <f>IS!Y9/IS!Y7</f>
        <v>0.73685198009603881</v>
      </c>
      <c r="G62" s="219">
        <f>IS!Z9/IS!Z7</f>
        <v>0.72540851262082662</v>
      </c>
      <c r="H62" s="219">
        <f>IS!AA9/IS!AA7</f>
        <v>0.72899999999999998</v>
      </c>
      <c r="J62" s="102" t="s">
        <v>597</v>
      </c>
    </row>
    <row r="63" spans="1:10" ht="15" customHeight="1" x14ac:dyDescent="0.15">
      <c r="A63" s="96" t="s">
        <v>598</v>
      </c>
      <c r="B63" s="223">
        <f>IF(ISNUMBER(B60),B62/B60-1,"n.a.")</f>
        <v>-1.1102230246251565E-16</v>
      </c>
      <c r="C63" s="223">
        <f>IF(ISNUMBER(C60),C62/C60-1,"n.a.")</f>
        <v>-9.3153237074983242E-4</v>
      </c>
      <c r="D63" s="223"/>
      <c r="E63" s="223">
        <f>IF(ISNUMBER(E60),E62/E60-1,"n.a.")</f>
        <v>1.9618898193685119E-4</v>
      </c>
      <c r="F63" s="223">
        <f>IF(ISNUMBER(F60),F62/F60-1,"n.a.")</f>
        <v>-5.0221237914860328E-4</v>
      </c>
      <c r="G63" s="223">
        <f>IF(ISNUMBER(G60),G62/G60-1,"n.a.")</f>
        <v>1.1772141676797965E-3</v>
      </c>
      <c r="H63" s="223">
        <f>IF(ISNUMBER(H60),H62/H60-1,"n.a.")</f>
        <v>1.2208148939416574E-3</v>
      </c>
    </row>
    <row r="64" spans="1:10" ht="15" customHeight="1" x14ac:dyDescent="0.15">
      <c r="A64" s="96"/>
      <c r="B64" s="223"/>
      <c r="C64" s="223"/>
      <c r="D64" s="223"/>
      <c r="E64" s="223"/>
      <c r="F64" s="223"/>
      <c r="G64" s="223"/>
      <c r="H64" s="223"/>
    </row>
    <row r="65" spans="1:10" ht="15" customHeight="1" x14ac:dyDescent="0.15">
      <c r="A65" s="96" t="s">
        <v>599</v>
      </c>
      <c r="B65" s="223"/>
      <c r="C65" s="223"/>
      <c r="D65" s="223"/>
      <c r="E65" s="223"/>
      <c r="F65" s="223"/>
      <c r="G65" s="223"/>
      <c r="H65" s="223"/>
    </row>
    <row r="66" spans="1:10" ht="15" customHeight="1" x14ac:dyDescent="0.15">
      <c r="A66" s="97" t="s">
        <v>600</v>
      </c>
      <c r="E66" s="225">
        <f>Raw_Data!B333</f>
        <v>0.71299999999999997</v>
      </c>
      <c r="F66" s="225">
        <f>IF(Raw_Data!C294="","",Raw_Data!C294)</f>
        <v>0.75</v>
      </c>
      <c r="G66" s="225">
        <f>IF(Raw_Data!D294="","",Raw_Data!D294)</f>
        <v>0.745</v>
      </c>
      <c r="H66" s="225">
        <f>IF(Raw_Data!E294="","",Raw_Data!E294)</f>
        <v>0.746</v>
      </c>
      <c r="J66" s="102" t="s">
        <v>601</v>
      </c>
    </row>
    <row r="67" spans="1:10" ht="15" customHeight="1" x14ac:dyDescent="0.15">
      <c r="A67" s="97" t="s">
        <v>602</v>
      </c>
      <c r="B67" s="225">
        <f>IF(Raw_Data!F295="","",Raw_Data!F295)</f>
        <v>0.749</v>
      </c>
      <c r="C67" s="225">
        <f>IF(Raw_Data!G295="","",Raw_Data!G295)</f>
        <v>0.749</v>
      </c>
      <c r="D67" s="225"/>
      <c r="E67" s="225">
        <f>Raw_Data!B333</f>
        <v>0.71299999999999997</v>
      </c>
      <c r="F67" s="225">
        <f>IF(Raw_Data!C295="","",Raw_Data!C295)</f>
        <v>0.749</v>
      </c>
      <c r="G67" s="225">
        <f>IF(Raw_Data!D295="","",Raw_Data!D295)</f>
        <v>0.747</v>
      </c>
      <c r="J67" s="102" t="s">
        <v>603</v>
      </c>
    </row>
    <row r="68" spans="1:10" ht="15" customHeight="1" x14ac:dyDescent="0.15">
      <c r="A68" s="97" t="s">
        <v>604</v>
      </c>
      <c r="E68" s="225">
        <f>Raw_Data!B333</f>
        <v>0.71299999999999997</v>
      </c>
      <c r="F68" s="225">
        <f>IF(Raw_Data!C296="","",Raw_Data!C296)</f>
        <v>0.749</v>
      </c>
      <c r="G68" s="225">
        <f>IF(Raw_Data!D296="","",Raw_Data!D296)</f>
        <v>0.752</v>
      </c>
      <c r="J68" s="102" t="s">
        <v>605</v>
      </c>
    </row>
    <row r="69" spans="1:10" ht="15" customHeight="1" x14ac:dyDescent="0.15">
      <c r="A69" s="97" t="s">
        <v>606</v>
      </c>
      <c r="E69" s="225">
        <f>Raw_Data!B333</f>
        <v>0.71299999999999997</v>
      </c>
      <c r="F69" s="225">
        <f>IF(Raw_Data!C297="","",Raw_Data!C297)</f>
        <v>0.75</v>
      </c>
      <c r="G69" s="225">
        <f>IF(Raw_Data!D297="","",Raw_Data!D297)</f>
        <v>0.72499999999999998</v>
      </c>
      <c r="J69" s="102" t="s">
        <v>607</v>
      </c>
    </row>
    <row r="70" spans="1:10" ht="15" customHeight="1" x14ac:dyDescent="0.15">
      <c r="A70" s="96" t="s">
        <v>564</v>
      </c>
      <c r="B70" s="223" t="str">
        <f>IF(COUNT(B66:B69)&gt;=3,AVERAGE(B66:B69),"n.a.")</f>
        <v>n.a.</v>
      </c>
      <c r="C70" s="223" t="str">
        <f>IF(COUNT(C66:C69)&gt;=3,AVERAGE(C66:C69),"n.a.")</f>
        <v>n.a.</v>
      </c>
      <c r="D70" s="223"/>
      <c r="E70" s="223">
        <f>IF(COUNT(E66:E69)&gt;=3,AVERAGE(E66:E69),"n.a.")</f>
        <v>0.71299999999999997</v>
      </c>
      <c r="F70" s="223">
        <f>IF(COUNT(F66:F69)&gt;=3,AVERAGE(F66:F69),"n.a.")</f>
        <v>0.74950000000000006</v>
      </c>
      <c r="G70" s="223">
        <f>IF(COUNT(G66:G69)&gt;=3,AVERAGE(G66:G69),"n.a.")</f>
        <v>0.74224999999999997</v>
      </c>
      <c r="H70" s="223" t="str">
        <f>IF(COUNT(H66:H69)&gt;=3,AVERAGE(H66:H69),"n.a.")</f>
        <v>n.a.</v>
      </c>
    </row>
    <row r="71" spans="1:10" ht="15" customHeight="1" x14ac:dyDescent="0.15">
      <c r="A71" s="96" t="s">
        <v>565</v>
      </c>
      <c r="B71" s="223" t="str">
        <f>IF(COUNT(B66:B69)&gt;=3,MEDIAN(B66:B69),"n.a.")</f>
        <v>n.a.</v>
      </c>
      <c r="C71" s="223" t="str">
        <f>IF(COUNT(C66:C69)&gt;=3,MEDIAN(C66:C69),"n.a.")</f>
        <v>n.a.</v>
      </c>
      <c r="D71" s="223"/>
      <c r="E71" s="223">
        <f>IF(COUNT(E66:E69)&gt;=3,MEDIAN(E66:E69),"n.a.")</f>
        <v>0.71299999999999997</v>
      </c>
      <c r="F71" s="223">
        <f>IF(COUNT(F66:F69)&gt;=3,MEDIAN(F66:F69),"n.a.")</f>
        <v>0.74950000000000006</v>
      </c>
      <c r="G71" s="223">
        <f>IF(COUNT(G66:G69)&gt;=3,MEDIAN(G66:G69),"n.a.")</f>
        <v>0.746</v>
      </c>
      <c r="H71" s="223" t="str">
        <f>IF(COUNT(H66:H69)&gt;=3,MEDIAN(H66:H69),"n.a.")</f>
        <v>n.a.</v>
      </c>
    </row>
    <row r="72" spans="1:10" ht="15" customHeight="1" x14ac:dyDescent="0.15">
      <c r="A72" s="97" t="s">
        <v>596</v>
      </c>
      <c r="B72" s="219">
        <f>IS!L24</f>
        <v>0.74</v>
      </c>
      <c r="C72" s="219">
        <f>IS!M24</f>
        <v>0.71499999999999997</v>
      </c>
      <c r="D72" s="219"/>
      <c r="E72" s="219">
        <f>IS!X72</f>
        <v>0.71313988274412099</v>
      </c>
      <c r="F72" s="219">
        <f>IS!Y9/IS!Y7</f>
        <v>0.73685198009603881</v>
      </c>
      <c r="G72" s="219">
        <f>IS!Z9/IS!Z7</f>
        <v>0.72540851262082662</v>
      </c>
      <c r="H72" s="219">
        <f>IS!AA9/IS!AA7</f>
        <v>0.72899999999999998</v>
      </c>
      <c r="J72" s="102" t="s">
        <v>608</v>
      </c>
    </row>
    <row r="73" spans="1:10" ht="15" customHeight="1" x14ac:dyDescent="0.15">
      <c r="A73" s="96" t="s">
        <v>598</v>
      </c>
      <c r="B73" s="223" t="str">
        <f>IF(ISNUMBER(B70),B62/B70-1,"n.a.")</f>
        <v>n.a.</v>
      </c>
      <c r="C73" s="223" t="str">
        <f>IF(ISNUMBER(C70),C62/C70-1,"n.a.")</f>
        <v>n.a.</v>
      </c>
      <c r="D73" s="223"/>
      <c r="E73" s="223">
        <f>IF(ISNUMBER(E70),E62/E70-1,"n.a.")</f>
        <v>1.9618898193685119E-4</v>
      </c>
      <c r="F73" s="223">
        <f>IF(ISNUMBER(F70),F62/F70-1,"n.a.")</f>
        <v>-1.6875276723097077E-2</v>
      </c>
      <c r="G73" s="223">
        <f>IF(ISNUMBER(G70),G62/G70-1,"n.a.")</f>
        <v>-2.2689777540146006E-2</v>
      </c>
      <c r="H73" s="223" t="str">
        <f>IF(ISNUMBER(H70),H62/H70-1,"n.a.")</f>
        <v>n.a.</v>
      </c>
    </row>
    <row r="74" spans="1:10" ht="15" customHeight="1" x14ac:dyDescent="0.15">
      <c r="A74" s="214" t="s">
        <v>609</v>
      </c>
      <c r="B74" s="70"/>
      <c r="C74" s="70"/>
      <c r="E74" s="70"/>
      <c r="F74" s="70"/>
      <c r="G74" s="70"/>
      <c r="H74" s="70"/>
      <c r="I74" s="70"/>
      <c r="J74" s="70"/>
    </row>
    <row r="75" spans="1:10" ht="15" customHeight="1" x14ac:dyDescent="0.15">
      <c r="A75" s="96" t="s">
        <v>77</v>
      </c>
    </row>
    <row r="76" spans="1:10" ht="15" customHeight="1" x14ac:dyDescent="0.15">
      <c r="A76" s="97" t="s">
        <v>580</v>
      </c>
      <c r="E76" s="218">
        <f>IF(Raw_Data!B298="","",Raw_Data!B298)</f>
        <v>215.93799999999999</v>
      </c>
      <c r="F76" s="218">
        <f>IF(Raw_Data!C298="","",Raw_Data!C298)</f>
        <v>412.73099999999999</v>
      </c>
      <c r="G76" s="218">
        <f>IF(Raw_Data!D298="","",Raw_Data!D298)</f>
        <v>718.3</v>
      </c>
      <c r="H76" s="218">
        <f>IF(Raw_Data!E298="","",Raw_Data!E298)</f>
        <v>954.99199999999996</v>
      </c>
      <c r="J76" s="102" t="s">
        <v>610</v>
      </c>
    </row>
    <row r="77" spans="1:10" ht="15" customHeight="1" x14ac:dyDescent="0.15">
      <c r="A77" s="97" t="s">
        <v>582</v>
      </c>
      <c r="E77" s="218">
        <f>IF(Raw_Data!B299="","",Raw_Data!B299)</f>
        <v>215.93799999999999</v>
      </c>
      <c r="F77" s="218">
        <f>IF(Raw_Data!C299="","",Raw_Data!C299)</f>
        <v>405.96800000000002</v>
      </c>
      <c r="G77" s="218">
        <f>IF(Raw_Data!D299="","",Raw_Data!D299)</f>
        <v>690.16800000000001</v>
      </c>
      <c r="H77" s="218">
        <f>IF(Raw_Data!E299="","",Raw_Data!E299)</f>
        <v>970.22199999999998</v>
      </c>
      <c r="J77" s="102" t="s">
        <v>583</v>
      </c>
    </row>
    <row r="78" spans="1:10" ht="15" customHeight="1" x14ac:dyDescent="0.15">
      <c r="A78" s="97" t="s">
        <v>584</v>
      </c>
      <c r="B78" s="218">
        <f>IF(Raw_Data!F300="","",Raw_Data!F300)</f>
        <v>108.08</v>
      </c>
      <c r="C78" s="218">
        <f>IF(Raw_Data!G300="","",Raw_Data!G300)</f>
        <v>117.29</v>
      </c>
      <c r="D78" s="218"/>
      <c r="E78" s="218">
        <f>IF(Raw_Data!B300="","",Raw_Data!B300)</f>
        <v>215.93799999999999</v>
      </c>
      <c r="F78" s="218">
        <f>IF(Raw_Data!C300="","",Raw_Data!C300)</f>
        <v>403.20600000000002</v>
      </c>
      <c r="G78" s="218">
        <f>IF(Raw_Data!D300="","",Raw_Data!D300)</f>
        <v>684.70100000000002</v>
      </c>
      <c r="H78" s="218">
        <f>IF(Raw_Data!E300="","",Raw_Data!E300)</f>
        <v>953.072</v>
      </c>
      <c r="J78" s="102" t="s">
        <v>585</v>
      </c>
    </row>
    <row r="79" spans="1:10" ht="15" customHeight="1" x14ac:dyDescent="0.15">
      <c r="A79" s="97" t="s">
        <v>586</v>
      </c>
      <c r="E79" s="218">
        <f>IF(Raw_Data!B301="","",Raw_Data!B301)</f>
        <v>215.93799999999999</v>
      </c>
      <c r="F79" s="218">
        <f>IF(Raw_Data!C301="","",Raw_Data!C301)</f>
        <v>411.42700000000002</v>
      </c>
      <c r="G79" s="218">
        <f>IF(Raw_Data!D301="","",Raw_Data!D301)</f>
        <v>699.09900000000005</v>
      </c>
      <c r="H79" s="218">
        <f>IF(Raw_Data!E301="","",Raw_Data!E301)</f>
        <v>940.64099999999996</v>
      </c>
      <c r="J79" s="102" t="s">
        <v>587</v>
      </c>
    </row>
    <row r="80" spans="1:10" ht="15" customHeight="1" x14ac:dyDescent="0.15">
      <c r="A80" s="97" t="s">
        <v>588</v>
      </c>
      <c r="B80" s="218">
        <f>IF(Raw_Data!F302="","",Raw_Data!F302)</f>
        <v>109.639</v>
      </c>
      <c r="C80" s="218">
        <f>IF(Raw_Data!G302="","",Raw_Data!G302)</f>
        <v>122.78</v>
      </c>
      <c r="D80" s="218"/>
      <c r="E80" s="218">
        <f>IF(Raw_Data!B302="","",Raw_Data!B302)</f>
        <v>215.93799999999999</v>
      </c>
      <c r="F80" s="218">
        <f>IF(Raw_Data!C302="","",Raw_Data!C302)</f>
        <v>410.255</v>
      </c>
      <c r="G80" s="218">
        <f>IF(Raw_Data!D302="","",Raw_Data!D302)</f>
        <v>683.04600000000005</v>
      </c>
      <c r="H80" s="218">
        <f>IF(Raw_Data!E302="","",Raw_Data!E302)</f>
        <v>988.95399999999995</v>
      </c>
      <c r="J80" s="102" t="s">
        <v>589</v>
      </c>
    </row>
    <row r="81" spans="1:10" ht="15" customHeight="1" x14ac:dyDescent="0.15">
      <c r="A81" s="97" t="s">
        <v>560</v>
      </c>
      <c r="B81" s="218">
        <f>IF(Raw_Data!F303="","",Raw_Data!F303)</f>
        <v>108.005</v>
      </c>
      <c r="C81" s="218">
        <f>IF(Raw_Data!G303="","",Raw_Data!G303)</f>
        <v>122.9</v>
      </c>
      <c r="D81" s="218"/>
      <c r="E81" s="218">
        <f>IF(Raw_Data!B303="","",Raw_Data!B303)</f>
        <v>215.93799999999999</v>
      </c>
      <c r="F81" s="218">
        <f>IF(Raw_Data!C303="","",Raw_Data!C303)</f>
        <v>408.74099999999999</v>
      </c>
      <c r="G81" s="218">
        <f>IF(Raw_Data!D303="","",Raw_Data!D303)</f>
        <v>694.827</v>
      </c>
      <c r="H81" s="218">
        <f>IF(Raw_Data!E303="","",Raw_Data!E303)</f>
        <v>882.04399999999998</v>
      </c>
      <c r="J81" s="102" t="s">
        <v>561</v>
      </c>
    </row>
    <row r="82" spans="1:10" ht="15" customHeight="1" x14ac:dyDescent="0.15">
      <c r="A82" s="97" t="s">
        <v>554</v>
      </c>
      <c r="B82" s="218">
        <f>IF(Raw_Data!F304="","",Raw_Data!F304)</f>
        <v>108.872</v>
      </c>
      <c r="C82" s="218">
        <f>IF(Raw_Data!G304="","",Raw_Data!G304)</f>
        <v>126.376</v>
      </c>
      <c r="D82" s="218"/>
      <c r="F82" s="218">
        <f>IF(Raw_Data!C304="","",Raw_Data!C304)</f>
        <v>413.084</v>
      </c>
      <c r="G82" s="218">
        <f>IF(Raw_Data!D304="","",Raw_Data!D304)</f>
        <v>702.72</v>
      </c>
      <c r="H82" s="218">
        <f>IF(Raw_Data!E304="","",Raw_Data!E304)</f>
        <v>893.40899999999999</v>
      </c>
      <c r="J82" s="102" t="s">
        <v>555</v>
      </c>
    </row>
    <row r="83" spans="1:10" ht="15" customHeight="1" x14ac:dyDescent="0.15">
      <c r="A83" s="97" t="s">
        <v>562</v>
      </c>
      <c r="B83" s="218">
        <f>IF(Raw_Data!F305="","",Raw_Data!F305)</f>
        <v>108.152</v>
      </c>
      <c r="C83" s="218">
        <f>IF(Raw_Data!G305="","",Raw_Data!G305)</f>
        <v>121.16800000000001</v>
      </c>
      <c r="D83" s="218"/>
      <c r="E83" s="218">
        <f>IF(Raw_Data!B305="","",Raw_Data!B305)</f>
        <v>215.93799999999999</v>
      </c>
      <c r="F83" s="218">
        <f>IF(Raw_Data!C305="","",Raw_Data!C305)</f>
        <v>407.15499999999997</v>
      </c>
      <c r="G83" s="218">
        <f>IF(Raw_Data!D305="","",Raw_Data!D305)</f>
        <v>650.71799999999996</v>
      </c>
      <c r="H83" s="218">
        <f>IF(Raw_Data!E305="","",Raw_Data!E305)</f>
        <v>755.73900000000003</v>
      </c>
      <c r="J83" s="102" t="s">
        <v>563</v>
      </c>
    </row>
    <row r="84" spans="1:10" ht="15" customHeight="1" x14ac:dyDescent="0.15">
      <c r="A84" s="97" t="s">
        <v>590</v>
      </c>
      <c r="B84" s="218">
        <f>IF(Raw_Data!F306="","",Raw_Data!F306)</f>
        <v>108</v>
      </c>
      <c r="C84" s="218">
        <f>IF(Raw_Data!G306="","",Raw_Data!G306)</f>
        <v>120</v>
      </c>
      <c r="D84" s="218"/>
      <c r="E84" s="218">
        <f>IF(Raw_Data!B306="","",Raw_Data!B306)</f>
        <v>215.93799999999999</v>
      </c>
      <c r="F84" s="218">
        <f>IF(Raw_Data!C306="","",Raw_Data!C306)</f>
        <v>405.83600000000001</v>
      </c>
      <c r="G84" s="218">
        <f>IF(Raw_Data!D306="","",Raw_Data!D306)</f>
        <v>690</v>
      </c>
      <c r="H84" s="218">
        <f>IF(Raw_Data!E306="","",Raw_Data!E306)</f>
        <v>1050</v>
      </c>
      <c r="J84" s="102" t="s">
        <v>591</v>
      </c>
    </row>
    <row r="85" spans="1:10" ht="15" customHeight="1" x14ac:dyDescent="0.15">
      <c r="A85" s="97" t="s">
        <v>592</v>
      </c>
      <c r="B85" s="226" t="s">
        <v>247</v>
      </c>
      <c r="C85" s="226" t="s">
        <v>247</v>
      </c>
      <c r="D85" s="224"/>
      <c r="E85" s="226" t="s">
        <v>247</v>
      </c>
      <c r="F85" s="226" t="s">
        <v>247</v>
      </c>
      <c r="G85" s="226" t="s">
        <v>247</v>
      </c>
      <c r="H85" s="226" t="s">
        <v>247</v>
      </c>
      <c r="J85" s="102" t="s">
        <v>593</v>
      </c>
    </row>
    <row r="86" spans="1:10" ht="15" customHeight="1" x14ac:dyDescent="0.15">
      <c r="A86" s="97" t="s">
        <v>594</v>
      </c>
      <c r="B86" s="226" t="s">
        <v>247</v>
      </c>
      <c r="C86" s="226" t="s">
        <v>247</v>
      </c>
      <c r="D86" s="224"/>
      <c r="E86" s="226" t="s">
        <v>247</v>
      </c>
      <c r="F86" s="226" t="s">
        <v>247</v>
      </c>
      <c r="G86" s="226" t="s">
        <v>247</v>
      </c>
      <c r="H86" s="226" t="s">
        <v>247</v>
      </c>
      <c r="J86" s="102" t="s">
        <v>595</v>
      </c>
    </row>
    <row r="87" spans="1:10" ht="15" customHeight="1" x14ac:dyDescent="0.15">
      <c r="A87" s="96" t="s">
        <v>564</v>
      </c>
      <c r="B87" s="221">
        <f>IF(COUNT(B76:B86)&gt;=3,AVERAGE(B76:B86),"n.a.")</f>
        <v>108.45800000000001</v>
      </c>
      <c r="C87" s="221">
        <f>IF(COUNT(C76:C86)&gt;=3,AVERAGE(C76:C86),"n.a.")</f>
        <v>121.75233333333334</v>
      </c>
      <c r="D87" s="221"/>
      <c r="E87" s="221">
        <f>IF(COUNT(E76:E86)&gt;=3,AVERAGE(E76:E86),"n.a.")</f>
        <v>215.93800000000005</v>
      </c>
      <c r="F87" s="221">
        <f>IF(COUNT(F76:F86)&gt;=3,AVERAGE(F76:F86),"n.a.")</f>
        <v>408.71144444444445</v>
      </c>
      <c r="G87" s="221">
        <f>IF(COUNT(G76:G86)&gt;=3,AVERAGE(G76:G86),"n.a.")</f>
        <v>690.39766666666674</v>
      </c>
      <c r="H87" s="221">
        <f>IF(COUNT(H76:H86)&gt;=3,AVERAGE(H76:H86),"n.a.")</f>
        <v>932.11922222222222</v>
      </c>
    </row>
    <row r="88" spans="1:10" ht="15" customHeight="1" x14ac:dyDescent="0.15">
      <c r="A88" s="96" t="s">
        <v>565</v>
      </c>
      <c r="B88" s="221">
        <f>IF(COUNT(B76:B86)&gt;=3,MEDIAN(B76:B86),"n.a.")</f>
        <v>108.116</v>
      </c>
      <c r="C88" s="221">
        <f>IF(COUNT(C76:C86)&gt;=3,MEDIAN(C76:C86),"n.a.")</f>
        <v>121.974</v>
      </c>
      <c r="D88" s="221"/>
      <c r="E88" s="221">
        <f>IF(COUNT(E76:E86)&gt;=3,MEDIAN(E76:E86),"n.a.")</f>
        <v>215.93799999999999</v>
      </c>
      <c r="F88" s="221">
        <f>IF(COUNT(F76:F86)&gt;=3,MEDIAN(F76:F86),"n.a.")</f>
        <v>408.74099999999999</v>
      </c>
      <c r="G88" s="221">
        <f>IF(COUNT(G76:G86)&gt;=3,MEDIAN(G76:G86),"n.a.")</f>
        <v>690.16800000000001</v>
      </c>
      <c r="H88" s="221">
        <f>IF(COUNT(H76:H86)&gt;=3,MEDIAN(H76:H86),"n.a.")</f>
        <v>953.072</v>
      </c>
    </row>
    <row r="89" spans="1:10" ht="15" customHeight="1" x14ac:dyDescent="0.15">
      <c r="A89" s="97" t="s">
        <v>596</v>
      </c>
      <c r="B89" s="222">
        <f>IS!L7/1000</f>
        <v>109.63042401839999</v>
      </c>
      <c r="C89" s="222">
        <f>IS!M7/1000</f>
        <v>119.22535226007999</v>
      </c>
      <c r="D89" s="222"/>
      <c r="E89" s="222">
        <f>IS!X7/1000</f>
        <v>215.93799999999999</v>
      </c>
      <c r="F89" s="222">
        <f>IS!Y7/1000</f>
        <v>406.69177627848001</v>
      </c>
      <c r="G89" s="222">
        <f>IS!Z7/1000</f>
        <v>691.37601967341618</v>
      </c>
      <c r="H89" s="222">
        <f>IS!AA7/1000</f>
        <v>922.49472653800296</v>
      </c>
      <c r="J89" s="102" t="s">
        <v>611</v>
      </c>
    </row>
    <row r="90" spans="1:10" ht="15" customHeight="1" x14ac:dyDescent="0.15">
      <c r="A90" s="96" t="s">
        <v>598</v>
      </c>
      <c r="B90" s="223">
        <f>IF(ISNUMBER(B87),B89/B87-1,"n.a.")</f>
        <v>1.0809935812941207E-2</v>
      </c>
      <c r="C90" s="223">
        <f>IF(ISNUMBER(C87),C89/C87-1,"n.a.")</f>
        <v>-2.0755093590978602E-2</v>
      </c>
      <c r="D90" s="223"/>
      <c r="E90" s="223">
        <f>IF(ISNUMBER(E87),E89/E87-1,"n.a.")</f>
        <v>-2.2204460492503131E-16</v>
      </c>
      <c r="F90" s="223">
        <f>IF(ISNUMBER(F87),F89/F87-1,"n.a.")</f>
        <v>-4.9415503123719784E-3</v>
      </c>
      <c r="G90" s="223">
        <f>IF(ISNUMBER(G87),G89/G87-1,"n.a.")</f>
        <v>1.4170862011644303E-3</v>
      </c>
      <c r="H90" s="223">
        <f>IF(ISNUMBER(H87),H89/H87-1,"n.a.")</f>
        <v>-1.0325391274813467E-2</v>
      </c>
    </row>
    <row r="91" spans="1:10" ht="15" customHeight="1" x14ac:dyDescent="0.15">
      <c r="A91" s="96"/>
      <c r="B91" s="223"/>
      <c r="C91" s="223"/>
      <c r="D91" s="223"/>
      <c r="E91" s="223"/>
      <c r="F91" s="223"/>
      <c r="G91" s="223"/>
      <c r="H91" s="223"/>
    </row>
    <row r="92" spans="1:10" ht="15" customHeight="1" x14ac:dyDescent="0.15">
      <c r="A92" s="96" t="s">
        <v>612</v>
      </c>
    </row>
    <row r="93" spans="1:10" ht="15" customHeight="1" x14ac:dyDescent="0.15">
      <c r="A93" s="97" t="s">
        <v>584</v>
      </c>
      <c r="B93" s="218">
        <f>IF(Raw_Data!F324="","",Raw_Data!F324)</f>
        <v>9</v>
      </c>
      <c r="C93" s="218">
        <f>IF(Raw_Data!G324="","",Raw_Data!G324)</f>
        <v>9.8480000000000008</v>
      </c>
      <c r="D93" s="218"/>
      <c r="F93" s="218">
        <f>IF(Raw_Data!C324="","",Raw_Data!C324)</f>
        <v>34.529000000000003</v>
      </c>
      <c r="G93" s="218">
        <f>IF(Raw_Data!D324="","",Raw_Data!D324)</f>
        <v>48.436</v>
      </c>
      <c r="H93" s="218">
        <f>IF(Raw_Data!E324="","",Raw_Data!E324)</f>
        <v>60.783000000000001</v>
      </c>
      <c r="J93" s="102" t="s">
        <v>585</v>
      </c>
    </row>
    <row r="94" spans="1:10" ht="15" customHeight="1" x14ac:dyDescent="0.15">
      <c r="A94" s="97" t="s">
        <v>588</v>
      </c>
      <c r="B94" s="218">
        <f>IF(Raw_Data!F325="","",Raw_Data!F325)</f>
        <v>9.0540000000000003</v>
      </c>
      <c r="C94" s="218">
        <f>IF(Raw_Data!G325="","",Raw_Data!G325)</f>
        <v>9.7539999999999996</v>
      </c>
      <c r="D94" s="218"/>
      <c r="F94" s="218">
        <f>IF(Raw_Data!C325="","",Raw_Data!C325)</f>
        <v>34.488999999999997</v>
      </c>
      <c r="G94" s="218">
        <f>IF(Raw_Data!D325="","",Raw_Data!D325)</f>
        <v>48.015999999999998</v>
      </c>
      <c r="H94" s="218">
        <f>IF(Raw_Data!E325="","",Raw_Data!E325)</f>
        <v>60.02</v>
      </c>
      <c r="J94" s="102" t="s">
        <v>589</v>
      </c>
    </row>
    <row r="95" spans="1:10" ht="15" customHeight="1" x14ac:dyDescent="0.15">
      <c r="A95" s="97" t="s">
        <v>560</v>
      </c>
      <c r="B95" s="218">
        <f>IF(Raw_Data!F326="","",Raw_Data!F326)</f>
        <v>9</v>
      </c>
      <c r="C95" s="218">
        <f>IF(Raw_Data!G326="","",Raw_Data!G326)</f>
        <v>9.7040000000000006</v>
      </c>
      <c r="D95" s="218"/>
      <c r="F95" s="218">
        <f>IF(Raw_Data!C326="","",Raw_Data!C326)</f>
        <v>34.384999999999998</v>
      </c>
      <c r="G95" s="218">
        <f>IF(Raw_Data!D326="","",Raw_Data!D326)</f>
        <v>48.377000000000002</v>
      </c>
      <c r="H95" s="218">
        <f>IF(Raw_Data!E326="","",Raw_Data!E326)</f>
        <v>63.124000000000002</v>
      </c>
      <c r="J95" s="102" t="s">
        <v>561</v>
      </c>
    </row>
    <row r="96" spans="1:10" ht="15" customHeight="1" x14ac:dyDescent="0.15">
      <c r="A96" s="97" t="s">
        <v>554</v>
      </c>
      <c r="B96" s="218">
        <f>IF(Raw_Data!F327="","",Raw_Data!F327)</f>
        <v>9.1999999999999993</v>
      </c>
      <c r="C96" s="218">
        <f>IF(Raw_Data!G327="","",Raw_Data!G327)</f>
        <v>10.201000000000001</v>
      </c>
      <c r="D96" s="218"/>
      <c r="F96" s="218">
        <f>IF(Raw_Data!C327="","",Raw_Data!C327)</f>
        <v>35.082000000000001</v>
      </c>
      <c r="G96" s="218">
        <f>IF(Raw_Data!D327="","",Raw_Data!D327)</f>
        <v>55.725999999999999</v>
      </c>
      <c r="H96" s="218">
        <f>IF(Raw_Data!E327="","",Raw_Data!E327)</f>
        <v>69.986999999999995</v>
      </c>
      <c r="J96" s="102" t="s">
        <v>555</v>
      </c>
    </row>
    <row r="97" spans="1:10" ht="15" customHeight="1" x14ac:dyDescent="0.15">
      <c r="A97" s="97" t="s">
        <v>590</v>
      </c>
      <c r="B97" s="218">
        <f>IF(Raw_Data!F328="","",Raw_Data!F328)</f>
        <v>9</v>
      </c>
      <c r="C97" s="218">
        <f>IF(Raw_Data!G328="","",Raw_Data!G328)</f>
        <v>10</v>
      </c>
      <c r="D97" s="218"/>
      <c r="F97" s="218">
        <f>IF(Raw_Data!C328="","",Raw_Data!C328)</f>
        <v>34.680999999999997</v>
      </c>
      <c r="G97" s="218">
        <f>IF(Raw_Data!D328="","",Raw_Data!D328)</f>
        <v>48.5</v>
      </c>
      <c r="H97" s="218">
        <f>IF(Raw_Data!E328="","",Raw_Data!E328)</f>
        <v>64.599999999999994</v>
      </c>
      <c r="J97" s="102" t="s">
        <v>591</v>
      </c>
    </row>
    <row r="98" spans="1:10" ht="15" customHeight="1" x14ac:dyDescent="0.15">
      <c r="A98" s="96" t="s">
        <v>564</v>
      </c>
      <c r="B98" s="221">
        <f>IF(COUNT(B93:B97)&gt;=3,AVERAGE(B93:B97),"n.a.")</f>
        <v>9.0508000000000006</v>
      </c>
      <c r="C98" s="221">
        <f>IF(COUNT(C93:C97)&gt;=3,AVERAGE(C93:C97),"n.a.")</f>
        <v>9.9014000000000006</v>
      </c>
      <c r="D98" s="221"/>
      <c r="E98" s="221" t="str">
        <f>IF(COUNT(E93:E97)&gt;=3,AVERAGE(E93:E97),"n.a.")</f>
        <v>n.a.</v>
      </c>
      <c r="F98" s="221">
        <f>IF(COUNT(F93:F97)&gt;=3,AVERAGE(F93:F97),"n.a.")</f>
        <v>34.633200000000002</v>
      </c>
      <c r="G98" s="221">
        <f>IF(COUNT(G93:G97)&gt;=3,AVERAGE(G93:G97),"n.a.")</f>
        <v>49.811</v>
      </c>
      <c r="H98" s="221">
        <f>IF(COUNT(H93:H97)&gt;=3,AVERAGE(H93:H97),"n.a.")</f>
        <v>63.702800000000003</v>
      </c>
    </row>
    <row r="99" spans="1:10" ht="15" customHeight="1" x14ac:dyDescent="0.15">
      <c r="A99" s="96" t="s">
        <v>565</v>
      </c>
      <c r="B99" s="221">
        <f>IF(COUNT(B93:B97)&gt;=3,MEDIAN(B93:B97),"n.a.")</f>
        <v>9</v>
      </c>
      <c r="C99" s="221">
        <f>IF(COUNT(C93:C97)&gt;=3,MEDIAN(C93:C97),"n.a.")</f>
        <v>9.8480000000000008</v>
      </c>
      <c r="D99" s="221"/>
      <c r="E99" s="221" t="str">
        <f>IF(COUNT(E93:E97)&gt;=3,MEDIAN(E93:E97),"n.a.")</f>
        <v>n.a.</v>
      </c>
      <c r="F99" s="221">
        <f>IF(COUNT(F93:F97)&gt;=3,MEDIAN(F93:F97),"n.a.")</f>
        <v>34.529000000000003</v>
      </c>
      <c r="G99" s="221">
        <f>IF(COUNT(G93:G97)&gt;=3,MEDIAN(G93:G97),"n.a.")</f>
        <v>48.436</v>
      </c>
      <c r="H99" s="221">
        <f>IF(COUNT(H93:H97)&gt;=3,MEDIAN(H93:H97),"n.a.")</f>
        <v>63.124000000000002</v>
      </c>
    </row>
    <row r="100" spans="1:10" ht="15" customHeight="1" x14ac:dyDescent="0.15">
      <c r="A100" s="97" t="s">
        <v>596</v>
      </c>
      <c r="B100" s="222">
        <f>-IS!L46/1000</f>
        <v>9.1999999999999993</v>
      </c>
      <c r="C100" s="222">
        <f>-IS!M46/1000</f>
        <v>10.029999999999999</v>
      </c>
      <c r="D100" s="222"/>
      <c r="E100" s="222">
        <f>Raw_Data!R143/1000</f>
        <v>16.693999999999999</v>
      </c>
      <c r="F100" s="222">
        <f>-IS!Y46/1000</f>
        <v>34.911000000000001</v>
      </c>
      <c r="G100" s="222">
        <f>-IS!Z46/1000</f>
        <v>50.32</v>
      </c>
      <c r="H100" s="222">
        <f>-IS!AA46/1000</f>
        <v>63.9</v>
      </c>
      <c r="J100" s="102" t="s">
        <v>613</v>
      </c>
    </row>
    <row r="101" spans="1:10" ht="15" customHeight="1" x14ac:dyDescent="0.15">
      <c r="A101" s="96" t="s">
        <v>598</v>
      </c>
      <c r="B101" s="223">
        <f>IF(ISNUMBER(B98),B100/B98-1,"n.a.")</f>
        <v>1.6484730631546318E-2</v>
      </c>
      <c r="C101" s="223">
        <f>IF(ISNUMBER(C98),C100/C98-1,"n.a.")</f>
        <v>1.2988062294220892E-2</v>
      </c>
      <c r="D101" s="223"/>
      <c r="E101" s="223" t="str">
        <f>IF(ISNUMBER(E98),E100/E98-1,"n.a.")</f>
        <v>n.a.</v>
      </c>
      <c r="F101" s="223">
        <f>IF(ISNUMBER(F98),F100/F98-1,"n.a.")</f>
        <v>8.0212050864487683E-3</v>
      </c>
      <c r="G101" s="223">
        <f>IF(ISNUMBER(G98),G100/G98-1,"n.a.")</f>
        <v>1.0218626407821674E-2</v>
      </c>
      <c r="H101" s="223">
        <f>IF(ISNUMBER(H98),H100/H98-1,"n.a.")</f>
        <v>3.0956253100333786E-3</v>
      </c>
    </row>
    <row r="102" spans="1:10" ht="15" customHeight="1" x14ac:dyDescent="0.15">
      <c r="A102" s="96"/>
      <c r="B102" s="223"/>
      <c r="C102" s="223"/>
      <c r="D102" s="223"/>
      <c r="E102" s="223"/>
      <c r="F102" s="223"/>
      <c r="G102" s="223"/>
      <c r="H102" s="223"/>
    </row>
    <row r="103" spans="1:10" ht="15" customHeight="1" x14ac:dyDescent="0.15">
      <c r="A103" s="96" t="s">
        <v>614</v>
      </c>
    </row>
    <row r="104" spans="1:10" ht="15" customHeight="1" x14ac:dyDescent="0.15">
      <c r="A104" s="97" t="s">
        <v>580</v>
      </c>
      <c r="F104" s="218">
        <f>IF(Raw_Data!C330="","",Raw_Data!C330)</f>
        <v>270.51799999999997</v>
      </c>
      <c r="G104" s="218">
        <f>IF(Raw_Data!D330="","",Raw_Data!D330)</f>
        <v>474.83699999999999</v>
      </c>
      <c r="H104" s="218">
        <f>IF(Raw_Data!E330="","",Raw_Data!E330)</f>
        <v>639.50199999999995</v>
      </c>
      <c r="J104" s="102" t="s">
        <v>581</v>
      </c>
    </row>
    <row r="105" spans="1:10" ht="15" customHeight="1" x14ac:dyDescent="0.15">
      <c r="A105" s="97" t="s">
        <v>584</v>
      </c>
      <c r="B105" s="218">
        <f>IF(Raw_Data!F331="","",Raw_Data!F331)</f>
        <v>70.947999999999993</v>
      </c>
      <c r="C105" s="218">
        <f>IF(Raw_Data!G331="","",Raw_Data!G331)</f>
        <v>74.028000000000006</v>
      </c>
      <c r="D105" s="218"/>
      <c r="F105" s="218">
        <f>IF(Raw_Data!C331="","",Raw_Data!C331)</f>
        <v>262.71499999999997</v>
      </c>
      <c r="G105" s="218">
        <f>IF(Raw_Data!D331="","",Raw_Data!D331)</f>
        <v>447.80500000000001</v>
      </c>
      <c r="H105" s="218">
        <f>IF(Raw_Data!E331="","",Raw_Data!E331)</f>
        <v>635.14499999999998</v>
      </c>
      <c r="J105" s="102" t="s">
        <v>585</v>
      </c>
    </row>
    <row r="106" spans="1:10" ht="15" customHeight="1" x14ac:dyDescent="0.15">
      <c r="A106" s="97" t="s">
        <v>586</v>
      </c>
      <c r="F106" s="218">
        <f>IF(Raw_Data!C332="","",Raw_Data!C332)</f>
        <v>268.71800000000002</v>
      </c>
      <c r="G106" s="218">
        <f>IF(Raw_Data!D332="","",Raw_Data!D332)</f>
        <v>453.58199999999999</v>
      </c>
      <c r="H106" s="218">
        <f>IF(Raw_Data!E332="","",Raw_Data!E332)</f>
        <v>620.96199999999999</v>
      </c>
      <c r="J106" s="102" t="s">
        <v>587</v>
      </c>
    </row>
    <row r="107" spans="1:10" ht="15" customHeight="1" x14ac:dyDescent="0.15">
      <c r="A107" s="97" t="s">
        <v>588</v>
      </c>
      <c r="B107" s="218">
        <f>IF(Raw_Data!F333="","",Raw_Data!F333)</f>
        <v>72.078999999999994</v>
      </c>
      <c r="C107" s="218">
        <f>IF(Raw_Data!G333="","",Raw_Data!G333)</f>
        <v>77.787999999999997</v>
      </c>
      <c r="D107" s="218"/>
      <c r="F107" s="218">
        <f>IF(Raw_Data!C333="","",Raw_Data!C333)</f>
        <v>267.60599999999999</v>
      </c>
      <c r="G107" s="218">
        <f>IF(Raw_Data!D333="","",Raw_Data!D333)</f>
        <v>446.25200000000001</v>
      </c>
      <c r="H107" s="218">
        <f>IF(Raw_Data!E333="","",Raw_Data!E333)</f>
        <v>661.91700000000003</v>
      </c>
      <c r="J107" s="102" t="s">
        <v>589</v>
      </c>
    </row>
    <row r="108" spans="1:10" ht="15" customHeight="1" x14ac:dyDescent="0.15">
      <c r="A108" s="97" t="s">
        <v>560</v>
      </c>
      <c r="B108" s="218">
        <f>IF(Raw_Data!F334="","",Raw_Data!F334)</f>
        <v>73.143000000000001</v>
      </c>
      <c r="C108" s="218">
        <f>IF(Raw_Data!G334="","",Raw_Data!G334)</f>
        <v>80.445999999999998</v>
      </c>
      <c r="D108" s="218"/>
      <c r="F108" s="218">
        <f>IF(Raw_Data!C334="","",Raw_Data!C334)</f>
        <v>275.18599999999998</v>
      </c>
      <c r="G108" s="218">
        <f>IF(Raw_Data!D334="","",Raw_Data!D334)</f>
        <v>465.60199999999998</v>
      </c>
      <c r="H108" s="218">
        <f>IF(Raw_Data!E334="","",Raw_Data!E334)</f>
        <v>588.84799999999996</v>
      </c>
      <c r="J108" s="102" t="s">
        <v>561</v>
      </c>
    </row>
    <row r="109" spans="1:10" ht="15" customHeight="1" x14ac:dyDescent="0.15">
      <c r="A109" s="97" t="s">
        <v>554</v>
      </c>
      <c r="B109" s="218">
        <f>IF(Raw_Data!F335="","",Raw_Data!F335)</f>
        <v>71.409000000000006</v>
      </c>
      <c r="C109" s="218">
        <f>IF(Raw_Data!G335="","",Raw_Data!G335)</f>
        <v>80.284000000000006</v>
      </c>
      <c r="D109" s="218"/>
      <c r="F109" s="218">
        <f>IF(Raw_Data!C335="","",Raw_Data!C335)</f>
        <v>269.43200000000002</v>
      </c>
      <c r="G109" s="218">
        <f>IF(Raw_Data!D335="","",Raw_Data!D335)</f>
        <v>452.11500000000001</v>
      </c>
      <c r="H109" s="218">
        <f>IF(Raw_Data!E335="","",Raw_Data!E335)</f>
        <v>579.46199999999999</v>
      </c>
      <c r="J109" s="102" t="s">
        <v>555</v>
      </c>
    </row>
    <row r="110" spans="1:10" ht="15" customHeight="1" x14ac:dyDescent="0.15">
      <c r="A110" s="97" t="s">
        <v>562</v>
      </c>
      <c r="B110" s="218">
        <f>IF(Raw_Data!F336="","",Raw_Data!F336)</f>
        <v>71.022999999999996</v>
      </c>
      <c r="C110" s="218">
        <f>IF(Raw_Data!G336="","",Raw_Data!G336)</f>
        <v>77.622</v>
      </c>
      <c r="D110" s="218"/>
      <c r="F110" s="218">
        <f>IF(Raw_Data!C336="","",Raw_Data!C336)</f>
        <v>266.38499999999999</v>
      </c>
      <c r="G110" s="218">
        <f>IF(Raw_Data!D336="","",Raw_Data!D336)</f>
        <v>421.02800000000002</v>
      </c>
      <c r="H110" s="218">
        <f>IF(Raw_Data!E336="","",Raw_Data!E336)</f>
        <v>490.96100000000001</v>
      </c>
      <c r="J110" s="102" t="s">
        <v>563</v>
      </c>
    </row>
    <row r="111" spans="1:10" ht="15" customHeight="1" x14ac:dyDescent="0.15">
      <c r="A111" s="97" t="s">
        <v>590</v>
      </c>
      <c r="B111" s="218">
        <f>IF(Raw_Data!F337="","",Raw_Data!F337)</f>
        <v>70.92</v>
      </c>
      <c r="C111" s="218">
        <f>IF(Raw_Data!G337="","",Raw_Data!G337)</f>
        <v>75.8</v>
      </c>
      <c r="D111" s="218"/>
      <c r="F111" s="218">
        <f>IF(Raw_Data!C337="","",Raw_Data!C337)</f>
        <v>264.459</v>
      </c>
      <c r="G111" s="218">
        <f>IF(Raw_Data!D337="","",Raw_Data!D337)</f>
        <v>451.07</v>
      </c>
      <c r="H111" s="218">
        <f>IF(Raw_Data!E337="","",Raw_Data!E337)</f>
        <v>696.65</v>
      </c>
      <c r="J111" s="102" t="s">
        <v>591</v>
      </c>
    </row>
    <row r="112" spans="1:10" ht="15" customHeight="1" x14ac:dyDescent="0.15">
      <c r="A112" s="96" t="s">
        <v>564</v>
      </c>
      <c r="B112" s="221">
        <f>IF(COUNT(B104:B111)&gt;=3,AVERAGE(B104:B111),"n.a.")</f>
        <v>71.587000000000003</v>
      </c>
      <c r="C112" s="221">
        <f>IF(COUNT(C104:C111)&gt;=3,AVERAGE(C104:C111),"n.a.")</f>
        <v>77.661333333333332</v>
      </c>
      <c r="D112" s="221"/>
      <c r="E112" s="221" t="str">
        <f>IF(COUNT(E104:E111)&gt;=3,AVERAGE(E104:E111),"n.a.")</f>
        <v>n.a.</v>
      </c>
      <c r="F112" s="221">
        <f>IF(COUNT(F104:F111)&gt;=3,AVERAGE(F104:F111),"n.a.")</f>
        <v>268.12737499999997</v>
      </c>
      <c r="G112" s="221">
        <f>IF(COUNT(G104:G111)&gt;=3,AVERAGE(G104:G111),"n.a.")</f>
        <v>451.53637500000008</v>
      </c>
      <c r="H112" s="221">
        <f>IF(COUNT(H104:H111)&gt;=3,AVERAGE(H104:H111),"n.a.")</f>
        <v>614.1808749999999</v>
      </c>
    </row>
    <row r="113" spans="1:10" ht="15" customHeight="1" x14ac:dyDescent="0.15">
      <c r="A113" s="96" t="s">
        <v>565</v>
      </c>
      <c r="B113" s="221">
        <f>IF(COUNT(B104:B111)&gt;=3,MEDIAN(B104:B111),"n.a.")</f>
        <v>71.216000000000008</v>
      </c>
      <c r="C113" s="221">
        <f>IF(COUNT(C104:C111)&gt;=3,MEDIAN(C104:C111),"n.a.")</f>
        <v>77.704999999999998</v>
      </c>
      <c r="D113" s="221"/>
      <c r="E113" s="221" t="str">
        <f>IF(COUNT(E104:E111)&gt;=3,MEDIAN(E104:E111),"n.a.")</f>
        <v>n.a.</v>
      </c>
      <c r="F113" s="221">
        <f>IF(COUNT(F104:F111)&gt;=3,MEDIAN(F104:F111),"n.a.")</f>
        <v>268.16200000000003</v>
      </c>
      <c r="G113" s="221">
        <f>IF(COUNT(G104:G111)&gt;=3,MEDIAN(G104:G111),"n.a.")</f>
        <v>451.59249999999997</v>
      </c>
      <c r="H113" s="221">
        <f>IF(COUNT(H104:H111)&gt;=3,MEDIAN(H104:H111),"n.a.")</f>
        <v>628.05349999999999</v>
      </c>
    </row>
    <row r="114" spans="1:10" ht="15" customHeight="1" x14ac:dyDescent="0.15">
      <c r="A114" s="97" t="s">
        <v>596</v>
      </c>
      <c r="B114" s="222">
        <f>IS!L47/1000</f>
        <v>71.926513773615994</v>
      </c>
      <c r="C114" s="222">
        <f>IS!M47/1000</f>
        <v>75.216126865957193</v>
      </c>
      <c r="D114" s="222"/>
      <c r="E114" s="222">
        <f>Raw_Data!R144/1000</f>
        <v>137.30000000000001</v>
      </c>
      <c r="F114" s="222">
        <f>IS!Y47/1000</f>
        <v>264.88164063957322</v>
      </c>
      <c r="G114" s="222">
        <f>IS!Z47/1000</f>
        <v>451.21005009300023</v>
      </c>
      <c r="H114" s="222">
        <f>IS!AA47/1000</f>
        <v>608.59865564620418</v>
      </c>
      <c r="J114" s="102" t="s">
        <v>615</v>
      </c>
    </row>
    <row r="115" spans="1:10" ht="15" customHeight="1" x14ac:dyDescent="0.15">
      <c r="A115" s="96" t="s">
        <v>598</v>
      </c>
      <c r="B115" s="223">
        <f>IF(ISNUMBER(B112),B114/B112-1,"n.a.")</f>
        <v>4.74267358062197E-3</v>
      </c>
      <c r="C115" s="223">
        <f>IF(ISNUMBER(C112),C114/C112-1,"n.a.")</f>
        <v>-3.1485507168425353E-2</v>
      </c>
      <c r="D115" s="223"/>
      <c r="E115" s="223" t="str">
        <f>IF(ISNUMBER(E112),E114/E112-1,"n.a.")</f>
        <v>n.a.</v>
      </c>
      <c r="F115" s="223">
        <f>IF(ISNUMBER(F112),F114/F112-1,"n.a.")</f>
        <v>-1.2105195750440445E-2</v>
      </c>
      <c r="G115" s="223">
        <f>IF(ISNUMBER(G112),G114/G112-1,"n.a.")</f>
        <v>-7.2269904501010007E-4</v>
      </c>
      <c r="H115" s="223">
        <f>IF(ISNUMBER(H112),H114/H112-1,"n.a.")</f>
        <v>-9.0888850190845583E-3</v>
      </c>
    </row>
    <row r="116" spans="1:10" ht="15" customHeight="1" x14ac:dyDescent="0.15">
      <c r="A116" s="96"/>
      <c r="B116" s="223"/>
      <c r="C116" s="223"/>
      <c r="D116" s="223"/>
      <c r="E116" s="223"/>
      <c r="F116" s="223"/>
      <c r="G116" s="223"/>
      <c r="H116" s="223"/>
    </row>
    <row r="117" spans="1:10" ht="15" customHeight="1" x14ac:dyDescent="0.15">
      <c r="A117" s="96" t="s">
        <v>616</v>
      </c>
    </row>
    <row r="118" spans="1:10" ht="15" customHeight="1" x14ac:dyDescent="0.15">
      <c r="A118" s="97" t="s">
        <v>580</v>
      </c>
      <c r="B118" s="227">
        <f>IF(Raw_Data!F311="","",Raw_Data!F311)</f>
        <v>2.5</v>
      </c>
      <c r="C118" s="227">
        <f>IF(Raw_Data!G311="","",Raw_Data!G311)</f>
        <v>2.81</v>
      </c>
      <c r="D118" s="227"/>
      <c r="E118" s="227">
        <f>IF(Raw_Data!B311="","",Raw_Data!B311)</f>
        <v>4.5199999999999996</v>
      </c>
      <c r="F118" s="227">
        <f>IF(Raw_Data!C311="","",Raw_Data!C311)</f>
        <v>9.4</v>
      </c>
      <c r="G118" s="227">
        <f>IF(Raw_Data!D311="","",Raw_Data!D311)</f>
        <v>16.7</v>
      </c>
      <c r="H118" s="227">
        <f>IF(Raw_Data!E311="","",Raw_Data!E311)</f>
        <v>23</v>
      </c>
      <c r="J118" s="102" t="s">
        <v>610</v>
      </c>
    </row>
    <row r="119" spans="1:10" ht="15" customHeight="1" x14ac:dyDescent="0.15">
      <c r="A119" s="97" t="s">
        <v>582</v>
      </c>
      <c r="E119" s="227">
        <f>IF(Raw_Data!B312="","",Raw_Data!B312)</f>
        <v>4.7699999999999996</v>
      </c>
      <c r="F119" s="227">
        <f>IF(Raw_Data!C312="","",Raw_Data!C312)</f>
        <v>9.2100000000000009</v>
      </c>
      <c r="G119" s="227">
        <f>IF(Raw_Data!D312="","",Raw_Data!D312)</f>
        <v>15.01</v>
      </c>
      <c r="H119" s="227">
        <f>IF(Raw_Data!E312="","",Raw_Data!E312)</f>
        <v>24.16</v>
      </c>
      <c r="J119" s="102" t="s">
        <v>617</v>
      </c>
    </row>
    <row r="120" spans="1:10" ht="15" customHeight="1" x14ac:dyDescent="0.15">
      <c r="A120" s="97" t="s">
        <v>584</v>
      </c>
      <c r="B120" s="227">
        <f>IF(Raw_Data!F313="","",Raw_Data!F313)</f>
        <v>2.4500000000000002</v>
      </c>
      <c r="C120" s="227">
        <f>IF(Raw_Data!G313="","",Raw_Data!G313)</f>
        <v>2.56</v>
      </c>
      <c r="D120" s="227"/>
      <c r="E120" s="227">
        <f>IF(Raw_Data!B313="","",Raw_Data!B313)</f>
        <v>4.55</v>
      </c>
      <c r="F120" s="227">
        <f>IF(Raw_Data!C313="","",Raw_Data!C313)</f>
        <v>9.09</v>
      </c>
      <c r="G120" s="227">
        <f>IF(Raw_Data!D313="","",Raw_Data!D313)</f>
        <v>15.72</v>
      </c>
      <c r="H120" s="227">
        <f>IF(Raw_Data!E313="","",Raw_Data!E313)</f>
        <v>23.17</v>
      </c>
      <c r="J120" s="102" t="s">
        <v>585</v>
      </c>
    </row>
    <row r="121" spans="1:10" ht="15" customHeight="1" x14ac:dyDescent="0.15">
      <c r="A121" s="97" t="s">
        <v>586</v>
      </c>
      <c r="B121" s="227">
        <f>IF(Raw_Data!F314="","",Raw_Data!F314)</f>
        <v>2.44</v>
      </c>
      <c r="C121" s="227">
        <f>IF(Raw_Data!G314="","",Raw_Data!G314)</f>
        <v>2.74</v>
      </c>
      <c r="D121" s="227"/>
      <c r="E121" s="227">
        <f>IF(Raw_Data!B314="","",Raw_Data!B314)</f>
        <v>4.49</v>
      </c>
      <c r="F121" s="227">
        <f>IF(Raw_Data!C314="","",Raw_Data!C314)</f>
        <v>9.26</v>
      </c>
      <c r="G121" s="227">
        <f>IF(Raw_Data!D314="","",Raw_Data!D314)</f>
        <v>15.17</v>
      </c>
      <c r="H121" s="227">
        <f>IF(Raw_Data!E314="","",Raw_Data!E314)</f>
        <v>19.98</v>
      </c>
      <c r="J121" s="102" t="s">
        <v>618</v>
      </c>
    </row>
    <row r="122" spans="1:10" ht="15" customHeight="1" x14ac:dyDescent="0.15">
      <c r="A122" s="97" t="s">
        <v>588</v>
      </c>
      <c r="B122" s="227">
        <f>IF(Raw_Data!F315="","",Raw_Data!F315)</f>
        <v>2.46</v>
      </c>
      <c r="C122" s="227">
        <f>IF(Raw_Data!G315="","",Raw_Data!G315)</f>
        <v>2.65</v>
      </c>
      <c r="D122" s="227"/>
      <c r="E122" s="227">
        <f>IF(Raw_Data!B315="","",Raw_Data!B315)</f>
        <v>4.7699999999999996</v>
      </c>
      <c r="F122" s="227">
        <f>IF(Raw_Data!C315="","",Raw_Data!C315)</f>
        <v>9.19</v>
      </c>
      <c r="G122" s="227">
        <f>IF(Raw_Data!D315="","",Raw_Data!D315)</f>
        <v>15.34</v>
      </c>
      <c r="H122" s="227">
        <f>IF(Raw_Data!E315="","",Raw_Data!E315)</f>
        <v>22.7</v>
      </c>
      <c r="J122" s="102" t="s">
        <v>589</v>
      </c>
    </row>
    <row r="123" spans="1:10" ht="15" customHeight="1" x14ac:dyDescent="0.15">
      <c r="A123" s="97" t="s">
        <v>560</v>
      </c>
      <c r="B123" s="227">
        <f>IF(Raw_Data!F316="","",Raw_Data!F316)</f>
        <v>2.34</v>
      </c>
      <c r="C123" s="227">
        <f>IF(Raw_Data!G316="","",Raw_Data!G316)</f>
        <v>2.58</v>
      </c>
      <c r="D123" s="227"/>
      <c r="E123" s="227">
        <f>IF(Raw_Data!B316="","",Raw_Data!B316)</f>
        <v>4.78</v>
      </c>
      <c r="F123" s="227">
        <f>IF(Raw_Data!C316="","",Raw_Data!C316)</f>
        <v>9.01</v>
      </c>
      <c r="G123" s="227">
        <f>IF(Raw_Data!D316="","",Raw_Data!D316)</f>
        <v>15.55</v>
      </c>
      <c r="H123" s="227">
        <f>IF(Raw_Data!E316="","",Raw_Data!E316)</f>
        <v>19.73</v>
      </c>
      <c r="J123" s="102" t="s">
        <v>561</v>
      </c>
    </row>
    <row r="124" spans="1:10" ht="15" customHeight="1" x14ac:dyDescent="0.15">
      <c r="A124" s="97" t="s">
        <v>554</v>
      </c>
      <c r="B124" s="227">
        <f>IF(Raw_Data!F317="","",Raw_Data!F317)</f>
        <v>2.46</v>
      </c>
      <c r="C124" s="227">
        <f>IF(Raw_Data!G317="","",Raw_Data!G317)</f>
        <v>2.77</v>
      </c>
      <c r="D124" s="227"/>
      <c r="F124" s="227">
        <f>IF(Raw_Data!C317="","",Raw_Data!C317)</f>
        <v>9.31</v>
      </c>
      <c r="G124" s="227">
        <f>IF(Raw_Data!D317="","",Raw_Data!D317)</f>
        <v>15.65</v>
      </c>
      <c r="H124" s="227">
        <f>IF(Raw_Data!E317="","",Raw_Data!E317)</f>
        <v>20</v>
      </c>
      <c r="J124" s="102" t="s">
        <v>555</v>
      </c>
    </row>
    <row r="125" spans="1:10" ht="15" customHeight="1" x14ac:dyDescent="0.15">
      <c r="A125" s="97" t="s">
        <v>562</v>
      </c>
      <c r="B125" s="227">
        <f>IF(Raw_Data!F318="","",Raw_Data!F318)</f>
        <v>2.44</v>
      </c>
      <c r="C125" s="227">
        <f>IF(Raw_Data!G318="","",Raw_Data!G318)</f>
        <v>2.66</v>
      </c>
      <c r="D125" s="227"/>
      <c r="E125" s="227">
        <f>IF(Raw_Data!B318="","",Raw_Data!B318)</f>
        <v>4.7699999999999996</v>
      </c>
      <c r="F125" s="227">
        <f>IF(Raw_Data!C318="","",Raw_Data!C318)</f>
        <v>9.24</v>
      </c>
      <c r="G125" s="227">
        <f>IF(Raw_Data!D318="","",Raw_Data!D318)</f>
        <v>14.56</v>
      </c>
      <c r="H125" s="227">
        <f>IF(Raw_Data!E318="","",Raw_Data!E318)</f>
        <v>17.02</v>
      </c>
      <c r="J125" s="102" t="s">
        <v>563</v>
      </c>
    </row>
    <row r="126" spans="1:10" ht="15" customHeight="1" x14ac:dyDescent="0.15">
      <c r="A126" s="97" t="s">
        <v>590</v>
      </c>
      <c r="B126" s="227">
        <f>IF(Raw_Data!F319="","",Raw_Data!F319)</f>
        <v>2.4500000000000002</v>
      </c>
      <c r="C126" s="227">
        <f>IF(Raw_Data!G319="","",Raw_Data!G319)</f>
        <v>2.63</v>
      </c>
      <c r="D126" s="227"/>
      <c r="E126" s="227">
        <f>IF(Raw_Data!B319="","",Raw_Data!B319)</f>
        <v>4.51</v>
      </c>
      <c r="F126" s="227">
        <f>IF(Raw_Data!C319="","",Raw_Data!C319)</f>
        <v>9.16</v>
      </c>
      <c r="G126" s="227">
        <f>IF(Raw_Data!D319="","",Raw_Data!D319)</f>
        <v>15.85</v>
      </c>
      <c r="H126" s="227">
        <f>IF(Raw_Data!E319="","",Raw_Data!E319)</f>
        <v>25</v>
      </c>
      <c r="J126" s="102" t="s">
        <v>591</v>
      </c>
    </row>
    <row r="127" spans="1:10" ht="15" customHeight="1" x14ac:dyDescent="0.15">
      <c r="A127" s="97" t="s">
        <v>592</v>
      </c>
      <c r="B127" s="226" t="s">
        <v>247</v>
      </c>
      <c r="C127" s="226" t="s">
        <v>247</v>
      </c>
      <c r="D127" s="224"/>
      <c r="E127" s="226" t="s">
        <v>247</v>
      </c>
      <c r="F127" s="226" t="s">
        <v>247</v>
      </c>
      <c r="G127" s="226" t="s">
        <v>247</v>
      </c>
      <c r="H127" s="226" t="s">
        <v>247</v>
      </c>
      <c r="J127" s="102" t="s">
        <v>593</v>
      </c>
    </row>
    <row r="128" spans="1:10" ht="15" customHeight="1" x14ac:dyDescent="0.15">
      <c r="A128" s="97" t="s">
        <v>594</v>
      </c>
      <c r="B128" s="226" t="s">
        <v>247</v>
      </c>
      <c r="C128" s="226" t="s">
        <v>247</v>
      </c>
      <c r="D128" s="224"/>
      <c r="E128" s="226" t="s">
        <v>247</v>
      </c>
      <c r="F128" s="226" t="s">
        <v>247</v>
      </c>
      <c r="G128" s="226" t="s">
        <v>247</v>
      </c>
      <c r="H128" s="226" t="s">
        <v>247</v>
      </c>
      <c r="J128" s="102" t="s">
        <v>595</v>
      </c>
    </row>
    <row r="129" spans="1:10" ht="15" customHeight="1" x14ac:dyDescent="0.15">
      <c r="A129" s="96" t="s">
        <v>564</v>
      </c>
      <c r="B129" s="228">
        <f>IF(COUNT(B118:B128)&gt;=3,AVERAGE(B118:B128),"n.a.")</f>
        <v>2.4425000000000003</v>
      </c>
      <c r="C129" s="228">
        <f>IF(COUNT(C118:C128)&gt;=3,AVERAGE(C118:C128),"n.a.")</f>
        <v>2.6749999999999998</v>
      </c>
      <c r="D129" s="228"/>
      <c r="E129" s="228">
        <f>IF(COUNT(E118:E128)&gt;=3,AVERAGE(E118:E128),"n.a.")</f>
        <v>4.6449999999999996</v>
      </c>
      <c r="F129" s="228">
        <f>IF(COUNT(F118:F128)&gt;=3,AVERAGE(F118:F128),"n.a.")</f>
        <v>9.2077777777777765</v>
      </c>
      <c r="G129" s="228">
        <f>IF(COUNT(G118:G128)&gt;=3,AVERAGE(G118:G128),"n.a.")</f>
        <v>15.505555555555556</v>
      </c>
      <c r="H129" s="228">
        <f>IF(COUNT(H118:H128)&gt;=3,AVERAGE(H118:H128),"n.a.")</f>
        <v>21.64</v>
      </c>
    </row>
    <row r="130" spans="1:10" ht="15" customHeight="1" x14ac:dyDescent="0.15">
      <c r="A130" s="96" t="s">
        <v>565</v>
      </c>
      <c r="B130" s="228">
        <f>IF(COUNT(B118:B128)&gt;=3,MEDIAN(B118:B128),"n.a.")</f>
        <v>2.4500000000000002</v>
      </c>
      <c r="C130" s="228">
        <f>IF(COUNT(C118:C128)&gt;=3,MEDIAN(C118:C128),"n.a.")</f>
        <v>2.6550000000000002</v>
      </c>
      <c r="D130" s="228"/>
      <c r="E130" s="228">
        <f>IF(COUNT(E118:E128)&gt;=3,MEDIAN(E118:E128),"n.a.")</f>
        <v>4.66</v>
      </c>
      <c r="F130" s="228">
        <f>IF(COUNT(F118:F128)&gt;=3,MEDIAN(F118:F128),"n.a.")</f>
        <v>9.2100000000000009</v>
      </c>
      <c r="G130" s="228">
        <f>IF(COUNT(G118:G128)&gt;=3,MEDIAN(G118:G128),"n.a.")</f>
        <v>15.55</v>
      </c>
      <c r="H130" s="228">
        <f>IF(COUNT(H118:H128)&gt;=3,MEDIAN(H118:H128),"n.a.")</f>
        <v>22.7</v>
      </c>
    </row>
    <row r="131" spans="1:10" ht="15" customHeight="1" x14ac:dyDescent="0.15">
      <c r="A131" s="97" t="s">
        <v>596</v>
      </c>
      <c r="B131" s="229">
        <f>IS!L33</f>
        <v>2.4421566802070194</v>
      </c>
      <c r="C131" s="229">
        <f>IS!M33</f>
        <v>2.6007291325726638</v>
      </c>
      <c r="D131" s="229"/>
      <c r="E131" s="227">
        <f>Raw_Data!R147</f>
        <v>4.7699999999999996</v>
      </c>
      <c r="F131" s="229">
        <f>IS!Y49</f>
        <v>9.1273963502151041</v>
      </c>
      <c r="G131" s="229">
        <f>IS!Z33</f>
        <v>15.863756184801911</v>
      </c>
      <c r="H131" s="229">
        <f>IS!AA33</f>
        <v>22.236078845696429</v>
      </c>
      <c r="J131" s="230" t="s">
        <v>619</v>
      </c>
    </row>
    <row r="132" spans="1:10" ht="15" customHeight="1" x14ac:dyDescent="0.15">
      <c r="A132" s="96" t="s">
        <v>567</v>
      </c>
      <c r="B132" s="228">
        <f>IF(ISNUMBER(B129),B131-B129,"n.a.")</f>
        <v>-3.4331979298096726E-4</v>
      </c>
      <c r="C132" s="228">
        <f>IF(ISNUMBER(C129),C131-C129,"n.a.")</f>
        <v>-7.4270867427336018E-2</v>
      </c>
      <c r="D132" s="228"/>
      <c r="E132" s="228">
        <f>IF(ISNUMBER(E129),E131-E129,"n.a.")</f>
        <v>0.125</v>
      </c>
      <c r="F132" s="228">
        <f>IF(ISNUMBER(F129),F131-F129,"n.a.")</f>
        <v>-8.0381427562672414E-2</v>
      </c>
      <c r="G132" s="228">
        <f>IF(ISNUMBER(G129),G131-G129,"n.a.")</f>
        <v>0.35820062924635465</v>
      </c>
      <c r="H132" s="228">
        <f>IF(ISNUMBER(H129),H131-H129,"n.a.")</f>
        <v>0.59607884569642877</v>
      </c>
    </row>
    <row r="133" spans="1:10" ht="15" customHeight="1" x14ac:dyDescent="0.15">
      <c r="A133" s="214" t="s">
        <v>620</v>
      </c>
      <c r="B133" s="70"/>
      <c r="C133" s="70"/>
      <c r="E133" s="70"/>
      <c r="F133" s="70"/>
      <c r="G133" s="70"/>
      <c r="H133" s="70"/>
      <c r="I133" s="70"/>
      <c r="J133" s="70"/>
    </row>
    <row r="134" spans="1:10" ht="15" customHeight="1" x14ac:dyDescent="0.15">
      <c r="A134" s="97" t="s">
        <v>621</v>
      </c>
      <c r="B134" s="227">
        <f>IF(Raw_Data!F340="","",Raw_Data!F340)</f>
        <v>2.4700000000000002</v>
      </c>
      <c r="C134" s="227">
        <f>IF(Raw_Data!G340="","",Raw_Data!G340)</f>
        <v>2.75</v>
      </c>
      <c r="D134" s="227"/>
      <c r="F134" s="227">
        <f>IF(Raw_Data!C340="","",Raw_Data!C340)</f>
        <v>9.31</v>
      </c>
      <c r="G134" s="227">
        <f>IF(Raw_Data!D340="","",Raw_Data!D340)</f>
        <v>15.91</v>
      </c>
      <c r="H134" s="227">
        <f>IF(Raw_Data!E340="","",Raw_Data!E340)</f>
        <v>21.64</v>
      </c>
      <c r="J134" s="102" t="s">
        <v>622</v>
      </c>
    </row>
    <row r="135" spans="1:10" ht="15" customHeight="1" x14ac:dyDescent="0.15">
      <c r="A135" s="97" t="s">
        <v>623</v>
      </c>
      <c r="F135" s="227">
        <f>IF(Raw_Data!C341="","",Raw_Data!C341)</f>
        <v>338.96</v>
      </c>
      <c r="J135" s="102" t="s">
        <v>624</v>
      </c>
    </row>
    <row r="136" spans="1:10" ht="15" customHeight="1" x14ac:dyDescent="0.15">
      <c r="A136" s="97" t="s">
        <v>625</v>
      </c>
      <c r="F136" s="227">
        <f>IF(Raw_Data!C342="","",Raw_Data!C342)</f>
        <v>328.66</v>
      </c>
      <c r="J136" s="102" t="s">
        <v>626</v>
      </c>
    </row>
    <row r="137" spans="1:10" ht="15" customHeight="1" x14ac:dyDescent="0.15">
      <c r="A137" s="97"/>
      <c r="G137" s="227"/>
      <c r="J137" s="102"/>
    </row>
    <row r="138" spans="1:10" ht="13.5" customHeight="1" x14ac:dyDescent="0.15">
      <c r="A138" s="97" t="s">
        <v>627</v>
      </c>
      <c r="B138" s="227">
        <f>IF(Raw_Data!F344="","",Raw_Data!F344)</f>
        <v>108.98</v>
      </c>
      <c r="C138" s="227">
        <f>IF(Raw_Data!G344="","",Raw_Data!G344)</f>
        <v>124.48</v>
      </c>
      <c r="F138" s="227">
        <f>IF(Raw_Data!C344="","",Raw_Data!C344)</f>
        <v>411.65</v>
      </c>
      <c r="G138" s="227">
        <f>IF(Raw_Data!D344="","",Raw_Data!D344)</f>
        <v>692.21</v>
      </c>
      <c r="J138" s="102" t="s">
        <v>628</v>
      </c>
    </row>
    <row r="139" spans="1:10" ht="15" customHeight="1" x14ac:dyDescent="0.15">
      <c r="A139" s="214" t="s">
        <v>629</v>
      </c>
      <c r="B139" s="70"/>
      <c r="C139" s="70"/>
      <c r="E139" s="70"/>
      <c r="F139" s="70"/>
      <c r="G139" s="70"/>
      <c r="H139" s="70"/>
      <c r="I139" s="70"/>
      <c r="J139" s="70"/>
    </row>
    <row r="140" spans="1:10" ht="15" customHeight="1" x14ac:dyDescent="0.15">
      <c r="A140" s="96" t="s">
        <v>630</v>
      </c>
      <c r="E140" s="102" t="s">
        <v>631</v>
      </c>
    </row>
    <row r="141" spans="1:10" ht="15" customHeight="1" x14ac:dyDescent="0.15">
      <c r="A141" s="96" t="s">
        <v>632</v>
      </c>
      <c r="E141" s="102" t="s">
        <v>633</v>
      </c>
    </row>
    <row r="142" spans="1:10" ht="15" customHeight="1" x14ac:dyDescent="0.15">
      <c r="A142" s="96" t="s">
        <v>634</v>
      </c>
      <c r="E142" s="102" t="s">
        <v>635</v>
      </c>
    </row>
    <row r="143" spans="1:10" ht="15" customHeight="1" x14ac:dyDescent="0.15">
      <c r="A143" s="96" t="s">
        <v>636</v>
      </c>
      <c r="E143" s="102" t="s">
        <v>637</v>
      </c>
    </row>
    <row r="144" spans="1:10" ht="15" customHeight="1" x14ac:dyDescent="0.15">
      <c r="A144" s="102" t="s">
        <v>638</v>
      </c>
    </row>
    <row r="146" spans="1:10" ht="15" customHeight="1" x14ac:dyDescent="0.15">
      <c r="A146" s="214" t="s">
        <v>639</v>
      </c>
      <c r="B146" s="70"/>
      <c r="C146" s="70"/>
      <c r="E146" s="70"/>
      <c r="F146" s="70"/>
      <c r="G146" s="70"/>
      <c r="H146" s="70"/>
      <c r="I146" s="70"/>
      <c r="J146" s="70"/>
    </row>
    <row r="147" spans="1:10" ht="15" customHeight="1" x14ac:dyDescent="0.15">
      <c r="A147" s="102" t="s">
        <v>640</v>
      </c>
    </row>
    <row r="148" spans="1:10" ht="15" customHeight="1" x14ac:dyDescent="0.15">
      <c r="A148" s="102" t="s">
        <v>641</v>
      </c>
    </row>
    <row r="149" spans="1:10" ht="15" customHeight="1" x14ac:dyDescent="0.15">
      <c r="A149" s="102" t="s">
        <v>642</v>
      </c>
    </row>
    <row r="150" spans="1:10" ht="15" customHeight="1" x14ac:dyDescent="0.15">
      <c r="A150" s="102" t="s">
        <v>643</v>
      </c>
    </row>
    <row r="151" spans="1:10" ht="15" customHeight="1" x14ac:dyDescent="0.15">
      <c r="A151" s="102" t="s">
        <v>644</v>
      </c>
    </row>
  </sheetData>
  <phoneticPr fontId="61" type="noConversion"/>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85"/>
  <sheetViews>
    <sheetView showGridLines="0" zoomScale="141" zoomScaleNormal="141" workbookViewId="0">
      <pane xSplit="2" ySplit="6" topLeftCell="H7" activePane="bottomRight" state="frozen"/>
      <selection pane="topRight" activeCell="H1" sqref="H1"/>
      <selection pane="bottomLeft" activeCell="A7" sqref="A7"/>
      <selection pane="bottomRight" activeCell="M8" sqref="M8"/>
    </sheetView>
  </sheetViews>
  <sheetFormatPr baseColWidth="10" defaultColWidth="9.5" defaultRowHeight="14" x14ac:dyDescent="0.15"/>
  <cols>
    <col min="1" max="1" width="50" customWidth="1"/>
    <col min="2" max="2" width="15.1640625" customWidth="1"/>
    <col min="3" max="22" width="14.1640625" customWidth="1"/>
    <col min="23" max="23" width="2.1640625" customWidth="1"/>
    <col min="24" max="28" width="14.1640625" customWidth="1"/>
    <col min="30" max="30" width="56.6640625" customWidth="1"/>
  </cols>
  <sheetData>
    <row r="1" spans="1:30" ht="21.75" customHeight="1" x14ac:dyDescent="0.2">
      <c r="A1" s="68" t="s">
        <v>645</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row>
    <row r="2" spans="1:30" ht="15" customHeight="1" x14ac:dyDescent="0.15">
      <c r="A2" s="56" t="s">
        <v>646</v>
      </c>
    </row>
    <row r="3" spans="1:30" ht="15" customHeight="1" x14ac:dyDescent="0.15">
      <c r="A3" s="57" t="s">
        <v>647</v>
      </c>
    </row>
    <row r="4" spans="1:30" ht="15" customHeight="1" x14ac:dyDescent="0.15">
      <c r="A4" s="73" t="s">
        <v>215</v>
      </c>
      <c r="B4" s="69"/>
      <c r="C4" s="98" t="s">
        <v>648</v>
      </c>
      <c r="D4" s="98" t="s">
        <v>649</v>
      </c>
      <c r="E4" s="98" t="s">
        <v>650</v>
      </c>
      <c r="F4" s="98" t="s">
        <v>651</v>
      </c>
      <c r="G4" s="98" t="s">
        <v>652</v>
      </c>
      <c r="H4" s="98" t="s">
        <v>653</v>
      </c>
      <c r="I4" s="98" t="s">
        <v>654</v>
      </c>
      <c r="J4" s="98" t="s">
        <v>655</v>
      </c>
      <c r="K4" s="98" t="s">
        <v>656</v>
      </c>
      <c r="L4" s="98" t="s">
        <v>657</v>
      </c>
      <c r="M4" s="98" t="s">
        <v>658</v>
      </c>
      <c r="N4" s="98" t="s">
        <v>659</v>
      </c>
      <c r="O4" s="98" t="s">
        <v>660</v>
      </c>
      <c r="P4" s="98" t="s">
        <v>661</v>
      </c>
      <c r="Q4" s="98" t="s">
        <v>662</v>
      </c>
      <c r="R4" s="98" t="s">
        <v>663</v>
      </c>
      <c r="S4" s="98" t="s">
        <v>664</v>
      </c>
      <c r="T4" s="98" t="s">
        <v>665</v>
      </c>
      <c r="U4" s="98" t="s">
        <v>666</v>
      </c>
      <c r="V4" s="98" t="s">
        <v>667</v>
      </c>
      <c r="W4" s="211"/>
      <c r="X4" s="98" t="s">
        <v>651</v>
      </c>
      <c r="Y4" s="98" t="s">
        <v>655</v>
      </c>
      <c r="Z4" s="98" t="s">
        <v>659</v>
      </c>
      <c r="AA4" s="98" t="s">
        <v>663</v>
      </c>
      <c r="AB4" s="98" t="s">
        <v>667</v>
      </c>
      <c r="AC4" s="69"/>
      <c r="AD4" s="69"/>
    </row>
    <row r="5" spans="1:30" ht="15" customHeight="1" x14ac:dyDescent="0.15">
      <c r="A5" s="73" t="s">
        <v>668</v>
      </c>
      <c r="B5" s="73"/>
      <c r="C5" s="74" t="s">
        <v>669</v>
      </c>
      <c r="D5" s="74" t="s">
        <v>670</v>
      </c>
      <c r="E5" s="74" t="s">
        <v>671</v>
      </c>
      <c r="F5" s="74" t="s">
        <v>672</v>
      </c>
      <c r="G5" s="74" t="s">
        <v>673</v>
      </c>
      <c r="H5" s="74" t="s">
        <v>674</v>
      </c>
      <c r="I5" s="74" t="s">
        <v>675</v>
      </c>
      <c r="J5" s="74" t="s">
        <v>676</v>
      </c>
      <c r="K5" s="74" t="s">
        <v>677</v>
      </c>
      <c r="L5" s="74" t="s">
        <v>678</v>
      </c>
      <c r="M5" s="74" t="s">
        <v>547</v>
      </c>
      <c r="N5" s="74" t="s">
        <v>548</v>
      </c>
      <c r="O5" s="74" t="s">
        <v>679</v>
      </c>
      <c r="P5" s="74" t="s">
        <v>680</v>
      </c>
      <c r="Q5" s="74" t="s">
        <v>681</v>
      </c>
      <c r="R5" s="74" t="s">
        <v>682</v>
      </c>
      <c r="S5" s="74" t="s">
        <v>683</v>
      </c>
      <c r="T5" s="74" t="s">
        <v>684</v>
      </c>
      <c r="U5" s="74" t="s">
        <v>685</v>
      </c>
      <c r="V5" s="74" t="s">
        <v>686</v>
      </c>
      <c r="W5" s="231"/>
      <c r="X5" s="74" t="s">
        <v>687</v>
      </c>
      <c r="Y5" s="74" t="s">
        <v>549</v>
      </c>
      <c r="Z5" s="74" t="s">
        <v>236</v>
      </c>
      <c r="AA5" s="74" t="s">
        <v>237</v>
      </c>
      <c r="AB5" s="74" t="s">
        <v>238</v>
      </c>
      <c r="AC5" s="73"/>
      <c r="AD5" s="73"/>
    </row>
    <row r="6" spans="1:30" ht="15" customHeight="1" x14ac:dyDescent="0.15">
      <c r="A6" s="56" t="s">
        <v>358</v>
      </c>
      <c r="C6" s="232" t="s">
        <v>359</v>
      </c>
      <c r="D6" s="232" t="s">
        <v>359</v>
      </c>
      <c r="E6" s="232" t="s">
        <v>359</v>
      </c>
      <c r="F6" s="232" t="s">
        <v>359</v>
      </c>
      <c r="G6" s="232" t="s">
        <v>359</v>
      </c>
      <c r="H6" s="232" t="s">
        <v>359</v>
      </c>
      <c r="I6" s="232" t="s">
        <v>359</v>
      </c>
      <c r="J6" s="232" t="s">
        <v>359</v>
      </c>
      <c r="K6" s="232" t="s">
        <v>359</v>
      </c>
      <c r="L6" s="232" t="s">
        <v>359</v>
      </c>
      <c r="M6" s="232" t="s">
        <v>551</v>
      </c>
      <c r="N6" s="232" t="s">
        <v>551</v>
      </c>
      <c r="O6" s="232" t="s">
        <v>551</v>
      </c>
      <c r="P6" s="232" t="s">
        <v>551</v>
      </c>
      <c r="Q6" s="232" t="s">
        <v>551</v>
      </c>
      <c r="R6" s="232" t="s">
        <v>551</v>
      </c>
      <c r="S6" s="232" t="s">
        <v>551</v>
      </c>
      <c r="T6" s="232" t="s">
        <v>551</v>
      </c>
      <c r="U6" s="232" t="s">
        <v>551</v>
      </c>
      <c r="V6" s="232" t="s">
        <v>551</v>
      </c>
      <c r="W6" s="211"/>
      <c r="X6" s="232" t="s">
        <v>359</v>
      </c>
      <c r="Y6" s="232" t="s">
        <v>359</v>
      </c>
      <c r="Z6" s="232" t="s">
        <v>551</v>
      </c>
      <c r="AA6" s="232" t="s">
        <v>551</v>
      </c>
      <c r="AB6" s="232" t="s">
        <v>551</v>
      </c>
    </row>
    <row r="7" spans="1:30" ht="15" customHeight="1" x14ac:dyDescent="0.15">
      <c r="A7" s="56" t="s">
        <v>688</v>
      </c>
    </row>
    <row r="8" spans="1:30" ht="15" customHeight="1" x14ac:dyDescent="0.15">
      <c r="A8" s="57" t="s">
        <v>689</v>
      </c>
      <c r="B8" s="58" t="s">
        <v>690</v>
      </c>
      <c r="G8" s="76"/>
      <c r="H8" s="76"/>
      <c r="I8" s="76"/>
      <c r="J8" s="76">
        <f>IF(Segment!H44=0,0,(Segment!I44-Segment!H44)/Segment!H44)</f>
        <v>0.19303709212605746</v>
      </c>
      <c r="K8" s="76">
        <f>IF(Segment!I44=0,0,(Segment!J44-Segment!I44)/Segment!I44)</f>
        <v>0.17750418825729536</v>
      </c>
      <c r="L8" s="76">
        <f>IF(Segment!J44=0,0,(Segment!K44-Segment!J44)/Segment!J44)</f>
        <v>0.18385004797670648</v>
      </c>
      <c r="M8" s="76">
        <f>IF(Segment!K44=0,0,(Segment!L44-Segment!K44)/Segment!K44)</f>
        <v>0.14988164535558066</v>
      </c>
      <c r="N8" s="76">
        <f>IF(Segment!L44=0,0,(Segment!M44-Segment!L44)/Segment!L44)</f>
        <v>9.5494583601086661E-2</v>
      </c>
      <c r="O8" s="76">
        <f>IF(Segment!M44=0,0,(Segment!N44-Segment!M44)/Segment!M44)</f>
        <v>0.19766912005348752</v>
      </c>
      <c r="P8" s="76">
        <f>IF(Segment!N44=0,0,(Segment!O44-Segment!N44)/Segment!N44)</f>
        <v>0.15230131607649253</v>
      </c>
      <c r="Q8" s="76">
        <f>IF(Segment!O44=0,0,(Segment!P44-Segment!O44)/Segment!O44)</f>
        <v>0.11818403627888964</v>
      </c>
      <c r="R8" s="76">
        <f>IF(Segment!P44=0,0,(Segment!Q44-Segment!P44)/Segment!P44)</f>
        <v>9.1701528923132603E-2</v>
      </c>
      <c r="S8" s="76">
        <f>IF(Segment!Q44=0,0,(Segment!R44-Segment!Q44)/Segment!Q44)</f>
        <v>6.6685949427647148E-2</v>
      </c>
      <c r="T8" s="76">
        <f>IF(Segment!R44=0,0,(Segment!S44-Segment!R44)/Segment!R44)</f>
        <v>5.5211906059916667E-2</v>
      </c>
      <c r="U8" s="76">
        <f>IF(Segment!S44=0,0,(Segment!T44-Segment!S44)/Segment!S44)</f>
        <v>4.2844531952371298E-2</v>
      </c>
      <c r="V8" s="76">
        <f>IF(Segment!T44=0,0,(Segment!U44-Segment!T44)/Segment!T44)</f>
        <v>3.3243482568821862E-2</v>
      </c>
      <c r="Y8" s="76"/>
      <c r="Z8" s="76"/>
      <c r="AA8" s="76">
        <f>IF(Segment!Y44=0,0,(Segment!Z44-Segment!Y44)/Segment!Y44)</f>
        <v>0.71904101565528167</v>
      </c>
      <c r="AB8" s="76">
        <f>IF(Segment!Z44=0,0,(Segment!AA44-Segment!Z44)/Segment!Z44)</f>
        <v>0.32871787009088776</v>
      </c>
      <c r="AD8" s="58"/>
    </row>
    <row r="9" spans="1:30" ht="15" customHeight="1" x14ac:dyDescent="0.15">
      <c r="A9" s="57" t="s">
        <v>691</v>
      </c>
      <c r="B9" s="58" t="s">
        <v>690</v>
      </c>
      <c r="G9" s="76"/>
      <c r="H9" s="76"/>
      <c r="I9" s="76"/>
      <c r="J9" s="76">
        <f>IF(Segment!H45=0,0,(Segment!I45-Segment!H45)/Segment!H45)</f>
        <v>0.34115060461707586</v>
      </c>
      <c r="K9" s="76">
        <f>IF(Segment!I45=0,0,(Segment!J45-Segment!I45)/Segment!I45)</f>
        <v>0.34790528233151186</v>
      </c>
      <c r="L9" s="76">
        <f>IF(Segment!J45=0,0,(Segment!K45-Segment!J45)/Segment!J45)</f>
        <v>0.18</v>
      </c>
      <c r="M9" s="76">
        <f>IF(Segment!K45=0,0,(Segment!L45-Segment!K45)/Segment!K45)</f>
        <v>0.13079771864406764</v>
      </c>
      <c r="N9" s="76">
        <f>IF(Segment!L45=0,0,(Segment!M45-Segment!L45)/Segment!L45)</f>
        <v>7.2671779776063969E-2</v>
      </c>
      <c r="O9" s="76">
        <f>IF(Segment!M45=0,0,(Segment!N45-Segment!M45)/Segment!M45)</f>
        <v>0.29959840686654965</v>
      </c>
      <c r="P9" s="76">
        <f>IF(Segment!N45=0,0,(Segment!O45-Segment!N45)/Segment!N45)</f>
        <v>0.15230131607649236</v>
      </c>
      <c r="Q9" s="76">
        <f>IF(Segment!O45=0,0,(Segment!P45-Segment!O45)/Segment!O45)</f>
        <v>0.11818403627888964</v>
      </c>
      <c r="R9" s="76">
        <f>IF(Segment!P45=0,0,(Segment!Q45-Segment!P45)/Segment!P45)</f>
        <v>9.1701528923132755E-2</v>
      </c>
      <c r="S9" s="76">
        <f>IF(Segment!Q45=0,0,(Segment!R45-Segment!Q45)/Segment!Q45)</f>
        <v>0.12943218174692089</v>
      </c>
      <c r="T9" s="76">
        <f>IF(Segment!R45=0,0,(Segment!S45-Segment!R45)/Segment!R45)</f>
        <v>5.5211906059916667E-2</v>
      </c>
      <c r="U9" s="76">
        <f>IF(Segment!S45=0,0,(Segment!T45-Segment!S45)/Segment!S45)</f>
        <v>4.2844531952371381E-2</v>
      </c>
      <c r="V9" s="76">
        <f>IF(Segment!T45=0,0,(Segment!U45-Segment!T45)/Segment!T45)</f>
        <v>3.3243482568821758E-2</v>
      </c>
      <c r="Y9" s="76"/>
      <c r="Z9" s="76"/>
      <c r="AA9" s="76">
        <f>IF(Segment!Y45=0,0,(Segment!Z45-Segment!Y45)/Segment!Y45)</f>
        <v>0.82318499452284988</v>
      </c>
      <c r="AB9" s="76">
        <f>IF(Segment!Z45=0,0,(Segment!AA45-Segment!Z45)/Segment!Z45)</f>
        <v>0.4068777448021173</v>
      </c>
      <c r="AD9" s="58"/>
    </row>
    <row r="10" spans="1:30" ht="15" customHeight="1" x14ac:dyDescent="0.15">
      <c r="A10" s="57" t="s">
        <v>692</v>
      </c>
      <c r="B10" s="58" t="s">
        <v>690</v>
      </c>
      <c r="D10" s="76">
        <f>IF(Segment!B9=0,0,(Segment!C9-Segment!B9)/Segment!B9)</f>
        <v>8.2447572536627406E-2</v>
      </c>
      <c r="E10" s="76">
        <f>IF(Segment!C9=0,0,(Segment!D9-Segment!C9)/Segment!C9)</f>
        <v>0.14410828025477707</v>
      </c>
      <c r="F10" s="76">
        <f>IF(Segment!D9=0,0,(Segment!E9-Segment!D9)/Segment!D9)</f>
        <v>-0.12990025516121551</v>
      </c>
      <c r="G10" s="76">
        <f>IF(Segment!E9=0,0,(Segment!F9-Segment!E9)/Segment!E9)</f>
        <v>0.31964809384164222</v>
      </c>
      <c r="H10" s="76">
        <f>IF(Segment!F9=0,0,(Segment!G9-Segment!F9)/Segment!F9)</f>
        <v>0.1408080808080808</v>
      </c>
      <c r="I10" s="76">
        <f>IF(Segment!G9=0,0,(Segment!H9-Segment!G9)/Segment!G9)</f>
        <v>2.5500265627766958E-2</v>
      </c>
      <c r="J10" s="76">
        <f>IF(Segment!H9=0,0,(Segment!I9-Segment!H9)/Segment!H9)</f>
        <v>3.7989984458642722E-3</v>
      </c>
      <c r="K10" s="76">
        <f>IF(Segment!I9=0,0,(Segment!J9-Segment!I9)/Segment!I9)</f>
        <v>9.5647686220540165E-2</v>
      </c>
      <c r="L10" s="76">
        <f>IF(Segment!J9=0,0,(Segment!K9-Segment!J9)/Segment!J9)</f>
        <v>0.13016172083529595</v>
      </c>
      <c r="M10" s="76">
        <f>IF(Segment!K9=0,0,(Segment!L9-Segment!K9)/Segment!K9)</f>
        <v>5.5542095026396274E-2</v>
      </c>
      <c r="N10" s="76">
        <f>IF(Segment!L9=0,0,(Segment!M9-Segment!L9)/Segment!L9)</f>
        <v>3.9758261347507248E-2</v>
      </c>
      <c r="O10" s="76">
        <f>IF(Segment!M9=0,0,(Segment!N9-Segment!M9)/Segment!M9)</f>
        <v>3.7600126685677117E-2</v>
      </c>
      <c r="P10" s="76">
        <f>IF(Segment!N9=0,0,(Segment!O9-Segment!N9)/Segment!N9)</f>
        <v>3.7079248101386519E-2</v>
      </c>
      <c r="Q10" s="76">
        <f>IF(Segment!O9=0,0,(Segment!P9-Segment!O9)/Segment!O9)</f>
        <v>3.498539038151291E-2</v>
      </c>
      <c r="R10" s="76">
        <f>IF(Segment!P9=0,0,(Segment!Q9-Segment!P9)/Segment!P9)</f>
        <v>3.4370912843115997E-2</v>
      </c>
      <c r="S10" s="76">
        <f>IF(Segment!Q9=0,0,(Segment!R9-Segment!Q9)/Segment!Q9)</f>
        <v>3.2195959359189313E-2</v>
      </c>
      <c r="T10" s="76">
        <f>IF(Segment!R9=0,0,(Segment!S9-Segment!R9)/Segment!R9)</f>
        <v>3.2554469532008752E-2</v>
      </c>
      <c r="U10" s="76">
        <f>IF(Segment!S9=0,0,(Segment!T9-Segment!S9)/Segment!S9)</f>
        <v>3.0449959222961266E-2</v>
      </c>
      <c r="V10" s="76">
        <f>IF(Segment!T9=0,0,(Segment!U9-Segment!T9)/Segment!T9)</f>
        <v>3.0728761741555848E-2</v>
      </c>
      <c r="Y10" s="76">
        <f>IF(Segment!W9=0,0,(Segment!X9-Segment!W9)/Segment!W9)</f>
        <v>0.4500032656260205</v>
      </c>
      <c r="Z10" s="76">
        <f>IF(Segment!X9=0,0,(Segment!Y9-Segment!X9)/Segment!X9)</f>
        <v>0.30915990270708527</v>
      </c>
      <c r="AA10" s="76">
        <f>IF(Segment!Y9=0,0,(Segment!Z9-Segment!Y9)/Segment!Y9)</f>
        <v>0.19033328139167216</v>
      </c>
      <c r="AB10" s="76">
        <f>IF(Segment!Z9=0,0,(Segment!AA9-Segment!Z9)/Segment!Z9)</f>
        <v>0.13854564188829988</v>
      </c>
      <c r="AD10" s="58" t="s">
        <v>693</v>
      </c>
    </row>
    <row r="11" spans="1:30" ht="15" customHeight="1" x14ac:dyDescent="0.15">
      <c r="A11" s="57"/>
      <c r="B11" s="58"/>
      <c r="G11" s="76"/>
      <c r="H11" s="76"/>
      <c r="I11" s="76"/>
      <c r="J11" s="76"/>
      <c r="K11" s="76"/>
      <c r="L11" s="76"/>
      <c r="M11" s="76"/>
      <c r="N11" s="76"/>
      <c r="O11" s="76"/>
      <c r="P11" s="76"/>
      <c r="Q11" s="76"/>
      <c r="R11" s="76"/>
      <c r="S11" s="76"/>
      <c r="T11" s="76"/>
      <c r="U11" s="76"/>
      <c r="V11" s="76"/>
      <c r="Y11" s="76"/>
      <c r="Z11" s="76"/>
      <c r="AA11" s="76"/>
      <c r="AB11" s="76"/>
      <c r="AD11" s="58"/>
    </row>
    <row r="12" spans="1:30" ht="15" customHeight="1" x14ac:dyDescent="0.15">
      <c r="A12" s="57" t="s">
        <v>694</v>
      </c>
      <c r="B12" s="58" t="s">
        <v>690</v>
      </c>
      <c r="G12" s="76"/>
      <c r="H12" s="76"/>
      <c r="I12" s="76"/>
      <c r="J12" s="76"/>
      <c r="K12" s="76">
        <f>IF(Segment!J8=0,0,Segment!J101/Segment!J8)</f>
        <v>0.57212343513276454</v>
      </c>
      <c r="L12" s="76">
        <f>IF(Segment!K8=0,0,Segment!K101/Segment!K8)</f>
        <v>0.54716196937869988</v>
      </c>
      <c r="M12" s="233">
        <v>0.54500000000000004</v>
      </c>
      <c r="N12" s="233">
        <v>0.54</v>
      </c>
      <c r="O12" s="233">
        <v>0.53</v>
      </c>
      <c r="P12" s="233">
        <v>0.52</v>
      </c>
      <c r="Q12" s="233">
        <v>0.51</v>
      </c>
      <c r="R12" s="233">
        <v>0.5</v>
      </c>
      <c r="S12" s="233">
        <v>0.495</v>
      </c>
      <c r="T12" s="233">
        <v>0.49</v>
      </c>
      <c r="U12" s="233">
        <v>0.48499999999999999</v>
      </c>
      <c r="V12" s="233">
        <v>0.48</v>
      </c>
      <c r="Y12" s="76"/>
      <c r="Z12" s="76">
        <f>IF(Segment!Y8=0,0,Segment!Y101/Segment!Y8)</f>
        <v>0.54944027321391509</v>
      </c>
      <c r="AA12" s="76">
        <f>IF(Segment!Z8=0,0,Segment!Z101/Segment!Z8)</f>
        <v>0.51360120999999992</v>
      </c>
      <c r="AB12" s="76">
        <f>IF(Segment!AA8=0,0,Segment!AA101/Segment!AA8)</f>
        <v>0.48723430000000001</v>
      </c>
      <c r="AD12" s="58" t="s">
        <v>695</v>
      </c>
    </row>
    <row r="13" spans="1:30" s="236" customFormat="1" ht="15" customHeight="1" x14ac:dyDescent="0.15">
      <c r="A13" s="57" t="s">
        <v>696</v>
      </c>
      <c r="B13" s="58" t="s">
        <v>697</v>
      </c>
      <c r="C13" s="234">
        <v>1</v>
      </c>
      <c r="D13" s="234">
        <v>1</v>
      </c>
      <c r="E13" s="234">
        <v>1</v>
      </c>
      <c r="F13" s="234">
        <v>1</v>
      </c>
      <c r="G13" s="234">
        <v>1</v>
      </c>
      <c r="H13" s="234">
        <v>1</v>
      </c>
      <c r="I13" s="234">
        <v>1</v>
      </c>
      <c r="J13" s="234">
        <v>1</v>
      </c>
      <c r="K13" s="234">
        <v>1</v>
      </c>
      <c r="L13" s="234">
        <v>1</v>
      </c>
      <c r="M13" s="235">
        <v>1</v>
      </c>
      <c r="N13" s="235">
        <v>1</v>
      </c>
      <c r="O13" s="235">
        <v>1</v>
      </c>
      <c r="P13" s="235">
        <v>1</v>
      </c>
      <c r="Q13" s="235">
        <v>1</v>
      </c>
      <c r="R13" s="235">
        <v>1</v>
      </c>
      <c r="S13" s="235">
        <v>1</v>
      </c>
      <c r="T13" s="235">
        <v>1</v>
      </c>
      <c r="U13" s="235">
        <v>1</v>
      </c>
      <c r="V13" s="235">
        <v>1</v>
      </c>
      <c r="W13" s="104"/>
      <c r="X13" s="104"/>
      <c r="Y13" s="76"/>
      <c r="Z13" s="76"/>
      <c r="AA13" s="76"/>
      <c r="AB13" s="76"/>
      <c r="AC13" s="104"/>
      <c r="AD13" s="58" t="s">
        <v>698</v>
      </c>
    </row>
    <row r="14" spans="1:30" s="237" customFormat="1" ht="15" customHeight="1" x14ac:dyDescent="0.15">
      <c r="A14" s="56" t="s">
        <v>699</v>
      </c>
    </row>
    <row r="15" spans="1:30" ht="15" customHeight="1" x14ac:dyDescent="0.15">
      <c r="A15" s="57" t="s">
        <v>700</v>
      </c>
      <c r="B15" s="58" t="s">
        <v>690</v>
      </c>
      <c r="M15" s="76">
        <f t="shared" ref="M15:V15" si="0">(1+M17)/(1+M16)-1</f>
        <v>0.76891912500000026</v>
      </c>
      <c r="N15" s="76">
        <f t="shared" si="0"/>
        <v>0.49259319999999995</v>
      </c>
      <c r="O15" s="76">
        <f t="shared" si="0"/>
        <v>0.31828505311851663</v>
      </c>
      <c r="P15" s="76">
        <f t="shared" si="0"/>
        <v>0.19002160196814644</v>
      </c>
      <c r="Q15" s="76">
        <f t="shared" si="0"/>
        <v>0.17271958685100119</v>
      </c>
      <c r="R15" s="76">
        <f t="shared" si="0"/>
        <v>0.22930494286040637</v>
      </c>
      <c r="S15" s="76">
        <f t="shared" si="0"/>
        <v>0.24633668481576976</v>
      </c>
      <c r="T15" s="76">
        <f t="shared" si="0"/>
        <v>0.21630754631273641</v>
      </c>
      <c r="U15" s="76">
        <f t="shared" si="0"/>
        <v>0.20298855556633022</v>
      </c>
      <c r="V15" s="76">
        <f t="shared" si="0"/>
        <v>0.17790778920096351</v>
      </c>
      <c r="X15" s="238"/>
      <c r="Y15" s="239">
        <f>(1+Y17)/(1+Y16)-1</f>
        <v>0.58872167208109905</v>
      </c>
      <c r="Z15" s="239">
        <f>(1+Z17)/(1+Z16)-1</f>
        <v>0.83777610730270746</v>
      </c>
      <c r="AA15" s="240">
        <v>0.26392100950162201</v>
      </c>
      <c r="AB15" s="240">
        <v>0.125345916970308</v>
      </c>
      <c r="AD15" s="58" t="s">
        <v>701</v>
      </c>
    </row>
    <row r="16" spans="1:30" ht="15" customHeight="1" x14ac:dyDescent="0.15">
      <c r="A16" s="57" t="s">
        <v>702</v>
      </c>
      <c r="B16" s="58" t="s">
        <v>690</v>
      </c>
      <c r="M16" s="76">
        <f t="shared" ref="M16:V16" si="1">M80/I80-1</f>
        <v>8.1081081081080919E-2</v>
      </c>
      <c r="N16" s="76">
        <f t="shared" si="1"/>
        <v>0.17647058823529416</v>
      </c>
      <c r="O16" s="76">
        <f t="shared" si="1"/>
        <v>0.35483870967741948</v>
      </c>
      <c r="P16" s="76">
        <f t="shared" si="1"/>
        <v>0.46086956521739131</v>
      </c>
      <c r="Q16" s="76">
        <f t="shared" si="1"/>
        <v>0.44155844155844193</v>
      </c>
      <c r="R16" s="76">
        <f t="shared" si="1"/>
        <v>0.37044145873320544</v>
      </c>
      <c r="S16" s="76">
        <f t="shared" si="1"/>
        <v>0.20388349514563098</v>
      </c>
      <c r="T16" s="76">
        <f t="shared" si="1"/>
        <v>0.12966601178781922</v>
      </c>
      <c r="U16" s="76">
        <f t="shared" si="1"/>
        <v>6.5217391304347894E-2</v>
      </c>
      <c r="V16" s="76">
        <f t="shared" si="1"/>
        <v>2.9644268774703608E-2</v>
      </c>
      <c r="X16" s="238"/>
      <c r="Y16" s="239">
        <v>0</v>
      </c>
      <c r="Z16" s="239">
        <f>AVERAGE(J80:M80)/AVERAGE(F80:I80)-1</f>
        <v>2.0270270270270174E-2</v>
      </c>
      <c r="AA16" s="240">
        <f>AVERAGE(N80:Q80)/AVERAGE(J80:M80)-1</f>
        <v>0.3600857986632553</v>
      </c>
      <c r="AB16" s="240">
        <f>AVERAGE(R80:U80)/AVERAGE(N80:Q80)-1</f>
        <v>0.18071950149168736</v>
      </c>
      <c r="AD16" s="58" t="s">
        <v>703</v>
      </c>
    </row>
    <row r="17" spans="1:30" ht="15" customHeight="1" x14ac:dyDescent="0.15">
      <c r="A17" s="57" t="s">
        <v>704</v>
      </c>
      <c r="B17" s="58" t="s">
        <v>690</v>
      </c>
      <c r="M17" s="233">
        <v>0.91234499999999996</v>
      </c>
      <c r="N17" s="233">
        <v>0.755992</v>
      </c>
      <c r="O17" s="76">
        <f>IF(Segment!J44=0,0,Segment!N44/Segment!J44-1)</f>
        <v>0.78606362035411959</v>
      </c>
      <c r="P17" s="76">
        <f>IF(Segment!K44=0,0,Segment!O44/Segment!K44-1)</f>
        <v>0.7384663402665097</v>
      </c>
      <c r="Q17" s="76">
        <f>IF(Segment!L44=0,0,Segment!P44/Segment!L44-1)</f>
        <v>0.69054382000598924</v>
      </c>
      <c r="R17" s="76">
        <f>IF(Segment!M44=0,0,Segment!Q44/Segment!M44-1)</f>
        <v>0.68469045912155502</v>
      </c>
      <c r="S17" s="76">
        <f>IF(Segment!N44=0,0,Segment!R44/Segment!N44-1)</f>
        <v>0.50044416424422766</v>
      </c>
      <c r="T17" s="76">
        <f>IF(Segment!O44=0,0,Segment!S44/Segment!O44-1)</f>
        <v>0.37402129495053704</v>
      </c>
      <c r="U17" s="76">
        <f>IF(Segment!P44=0,0,Segment!T44/Segment!P44-1)</f>
        <v>0.28144433092935195</v>
      </c>
      <c r="V17" s="76">
        <f>IF(Segment!Q44=0,0,Segment!U44/Segment!Q44-1)</f>
        <v>0.21282600429585385</v>
      </c>
      <c r="X17" s="238"/>
      <c r="Y17" s="239">
        <f>IF(Segment!W44=0,0,Segment!X44/Segment!W44-1)</f>
        <v>0.58872167208109905</v>
      </c>
      <c r="Z17" s="241">
        <f>IF(Segment!X44=0,0,Segment!Y44/Segment!X44-1)</f>
        <v>0.87502832569397837</v>
      </c>
      <c r="AA17" s="240">
        <f>(1+AA15)*(1+AA16)-1</f>
        <v>0.71904101565528156</v>
      </c>
      <c r="AB17" s="240">
        <f>(1+AB15)*(1+AB16)-1</f>
        <v>0.32871787009088771</v>
      </c>
      <c r="AD17" s="58" t="s">
        <v>705</v>
      </c>
    </row>
    <row r="18" spans="1:30" ht="15" customHeight="1" x14ac:dyDescent="0.15">
      <c r="A18" s="57" t="s">
        <v>706</v>
      </c>
      <c r="B18" s="58" t="s">
        <v>690</v>
      </c>
      <c r="H18" s="76">
        <f>IF(Segment!G44=0,0,Segment!G45/Segment!G44)</f>
        <v>0.21427727219004847</v>
      </c>
      <c r="I18" s="76">
        <f>IF(Segment!H44=0,0,Segment!H45/Segment!H44)</f>
        <v>0.1902714511480896</v>
      </c>
      <c r="J18" s="76">
        <f>IF(Segment!I44=0,0,Segment!I45/Segment!I44)</f>
        <v>0.21389332606070052</v>
      </c>
      <c r="K18" s="76">
        <f>IF(Segment!J44=0,0,Segment!J45/Segment!J44)</f>
        <v>0.24484663997617709</v>
      </c>
      <c r="L18" s="76">
        <f>IF(Segment!K44=0,0,Segment!K45/Segment!K44)</f>
        <v>0.24405036403527158</v>
      </c>
      <c r="M18" s="233">
        <v>0.24</v>
      </c>
      <c r="N18" s="233">
        <v>0.23499999999999999</v>
      </c>
      <c r="O18" s="233">
        <f>IF(Segment!N44=0,0,Segment!N45/Segment!N44)</f>
        <v>0.25499999999999984</v>
      </c>
      <c r="P18" s="233">
        <f>IF(Segment!O44=0,0,Segment!O45/Segment!O44)</f>
        <v>0.25499999999999978</v>
      </c>
      <c r="Q18" s="233">
        <f>IF(Segment!P44=0,0,Segment!P45/Segment!P44)</f>
        <v>0.25499999999999978</v>
      </c>
      <c r="R18" s="233">
        <f>IF(Segment!Q44=0,0,Segment!Q45/Segment!Q44)</f>
        <v>0.25499999999999984</v>
      </c>
      <c r="S18" s="233">
        <f>IF(Segment!R44=0,0,Segment!R45/Segment!R44)</f>
        <v>0.26999999999999991</v>
      </c>
      <c r="T18" s="233">
        <f>IF(Segment!S44=0,0,Segment!S45/Segment!S44)</f>
        <v>0.26999999999999991</v>
      </c>
      <c r="U18" s="233">
        <f>IF(Segment!T44=0,0,Segment!T45/Segment!T44)</f>
        <v>0.26999999999999996</v>
      </c>
      <c r="V18" s="233">
        <f>IF(Segment!U44=0,0,Segment!U45/Segment!U44)</f>
        <v>0.26999999999999991</v>
      </c>
      <c r="X18" s="238"/>
      <c r="Y18" s="239">
        <f>IF(Segment!X44=0,0,Segment!X45/Segment!X44)</f>
        <v>0.19324837861309058</v>
      </c>
      <c r="Z18" s="85">
        <f>IF(Segment!Y44=0,0,Segment!Y45/Segment!Y44)</f>
        <v>0.24043388921529577</v>
      </c>
      <c r="AA18" s="242">
        <v>0.255</v>
      </c>
      <c r="AB18" s="242">
        <v>0.27</v>
      </c>
      <c r="AD18" s="58" t="s">
        <v>707</v>
      </c>
    </row>
    <row r="19" spans="1:30" ht="15" customHeight="1" x14ac:dyDescent="0.15">
      <c r="A19" s="57" t="s">
        <v>708</v>
      </c>
      <c r="B19" s="58" t="s">
        <v>690</v>
      </c>
      <c r="M19" s="76">
        <f>IF(Segment!H45=0,0,Segment!L45/Segment!H45-1)</f>
        <v>1.4121474726273355</v>
      </c>
      <c r="N19" s="76">
        <f>IF(Segment!I45=0,0,Segment!M45/Segment!I45-1)</f>
        <v>0.92927066776684852</v>
      </c>
      <c r="O19" s="76">
        <f>IF(Segment!J45=0,0,Segment!N45/Segment!J45-1)</f>
        <v>0.86012854101087077</v>
      </c>
      <c r="P19" s="76">
        <f>IF(Segment!K45=0,0,Segment!O45/Segment!K45-1)</f>
        <v>0.81646488633751857</v>
      </c>
      <c r="Q19" s="76">
        <f>IF(Segment!L45=0,0,Segment!P45/Segment!L45-1)</f>
        <v>0.79620280875636218</v>
      </c>
      <c r="R19" s="76">
        <f>IF(Segment!M45=0,0,Segment!Q45/Segment!M45-1)</f>
        <v>0.82806837053615467</v>
      </c>
      <c r="S19" s="76">
        <f>IF(Segment!N45=0,0,Segment!R45/Segment!N45-1)</f>
        <v>0.58870558567035935</v>
      </c>
      <c r="T19" s="76">
        <f>IF(Segment!O45=0,0,Segment!S45/Segment!O45-1)</f>
        <v>0.45484607700645152</v>
      </c>
      <c r="U19" s="76">
        <f>IF(Segment!P45=0,0,Segment!T45/Segment!P45-1)</f>
        <v>0.35682340921931455</v>
      </c>
      <c r="V19" s="76">
        <f>IF(Segment!Q45=0,0,Segment!U45/Segment!Q45-1)</f>
        <v>0.2841687104309043</v>
      </c>
      <c r="X19" s="238"/>
      <c r="Y19" s="239">
        <f>IF(Segment!W45=0,0,Segment!X45/Segment!W45-1)</f>
        <v>1.4153964588144725</v>
      </c>
      <c r="Z19" s="241">
        <f>IF(Segment!X45=0,0,Segment!Y45/Segment!X45-1)</f>
        <v>1.332854515887302</v>
      </c>
      <c r="AA19" s="242">
        <v>0.82318499452284999</v>
      </c>
      <c r="AB19" s="242">
        <v>0.40687774480211703</v>
      </c>
      <c r="AD19" s="58" t="s">
        <v>709</v>
      </c>
    </row>
    <row r="20" spans="1:30" ht="15" customHeight="1" x14ac:dyDescent="0.15">
      <c r="A20" s="57" t="s">
        <v>710</v>
      </c>
      <c r="B20" s="58" t="s">
        <v>690</v>
      </c>
      <c r="H20" s="76">
        <f>IF(Segment!G8=0,0,Segment!G45/Segment!G8)</f>
        <v>0.17646486276036596</v>
      </c>
      <c r="I20" s="76">
        <f>IF(Segment!H8=0,0,Segment!H45/Segment!H8)</f>
        <v>0.15985551108073806</v>
      </c>
      <c r="J20" s="76">
        <f>IF(Segment!I8=0,0,Segment!I45/Segment!I8)</f>
        <v>0.17620438424752063</v>
      </c>
      <c r="K20" s="76">
        <f>IF(Segment!J8=0,0,Segment!J45/Segment!J8)</f>
        <v>0.19668819605028839</v>
      </c>
      <c r="L20" s="76">
        <f>IF(Segment!K8=0,0,Segment!K45/Segment!K8)</f>
        <v>0.19617402244363816</v>
      </c>
      <c r="M20" s="76">
        <f>IF(Segment!L8=0,0,Segment!L45/Segment!L8)</f>
        <v>0.19354838709677419</v>
      </c>
      <c r="N20" s="76">
        <f>IF(Segment!M8=0,0,Segment!M45/Segment!M8)</f>
        <v>0.19028340080971659</v>
      </c>
      <c r="O20" s="76">
        <f>IF(Segment!N8=0,0,Segment!N45/Segment!N8)</f>
        <v>0.20318725099601584</v>
      </c>
      <c r="P20" s="76">
        <f>IF(Segment!O8=0,0,Segment!O45/Segment!O8)</f>
        <v>0.20318725099601581</v>
      </c>
      <c r="Q20" s="76">
        <f>IF(Segment!P8=0,0,Segment!P45/Segment!P8)</f>
        <v>0.20318725099601581</v>
      </c>
      <c r="R20" s="76">
        <f>IF(Segment!Q8=0,0,Segment!Q45/Segment!Q8)</f>
        <v>0.20318725099601584</v>
      </c>
      <c r="S20" s="76">
        <f>IF(Segment!R8=0,0,Segment!R45/Segment!R8)</f>
        <v>0.21259842519685035</v>
      </c>
      <c r="T20" s="76">
        <f>IF(Segment!S8=0,0,Segment!S45/Segment!S8)</f>
        <v>0.21259842519685032</v>
      </c>
      <c r="U20" s="76">
        <f>IF(Segment!T8=0,0,Segment!T45/Segment!T8)</f>
        <v>0.21259842519685035</v>
      </c>
      <c r="V20" s="76">
        <f>IF(Segment!U8=0,0,Segment!U45/Segment!U8)</f>
        <v>0.21259842519685035</v>
      </c>
      <c r="X20" s="238"/>
      <c r="Y20" s="239">
        <f>IF(Segment!X8=0,0,Segment!X45/Segment!X8)</f>
        <v>0.16195151158529347</v>
      </c>
      <c r="Z20" s="85">
        <f>IF(Segment!Y8=0,0,Segment!Y45/Segment!Y8)</f>
        <v>0.19383047440552867</v>
      </c>
      <c r="AA20" s="76">
        <f>IF(Segment!Z8=0,0,Segment!Z45/Segment!Z8)</f>
        <v>0.20318725099601581</v>
      </c>
      <c r="AB20" s="76">
        <f>IF(Segment!AA8=0,0,Segment!AA45/Segment!AA8)</f>
        <v>0.21259842519685038</v>
      </c>
      <c r="AD20" s="58" t="s">
        <v>711</v>
      </c>
    </row>
    <row r="21" spans="1:30" ht="15" customHeight="1" x14ac:dyDescent="0.15">
      <c r="A21" s="57" t="s">
        <v>712</v>
      </c>
      <c r="B21" s="58"/>
      <c r="G21" s="243"/>
      <c r="H21" s="243">
        <f>Segment!G49</f>
        <v>-5.7183180844851082E-3</v>
      </c>
      <c r="I21" s="243">
        <f>Segment!H49</f>
        <v>5.9943375964073026E-3</v>
      </c>
      <c r="J21" s="243">
        <f>Segment!I49</f>
        <v>1.0639663638989633E-2</v>
      </c>
      <c r="K21" s="243">
        <f>Segment!J49</f>
        <v>9.2496611115541021E-3</v>
      </c>
      <c r="L21" s="243">
        <f>Segment!K49</f>
        <v>8.1327297439987411E-3</v>
      </c>
      <c r="M21" s="244">
        <f t="shared" ref="M21:V21" si="2">L21</f>
        <v>8.1327297439987411E-3</v>
      </c>
      <c r="N21" s="244">
        <f t="shared" si="2"/>
        <v>8.1327297439987411E-3</v>
      </c>
      <c r="O21" s="244">
        <f t="shared" si="2"/>
        <v>8.1327297439987411E-3</v>
      </c>
      <c r="P21" s="244">
        <f t="shared" si="2"/>
        <v>8.1327297439987411E-3</v>
      </c>
      <c r="Q21" s="244">
        <f t="shared" si="2"/>
        <v>8.1327297439987411E-3</v>
      </c>
      <c r="R21" s="244">
        <f t="shared" si="2"/>
        <v>8.1327297439987411E-3</v>
      </c>
      <c r="S21" s="244">
        <f t="shared" si="2"/>
        <v>8.1327297439987411E-3</v>
      </c>
      <c r="T21" s="244">
        <f t="shared" si="2"/>
        <v>8.1327297439987411E-3</v>
      </c>
      <c r="U21" s="244">
        <f t="shared" si="2"/>
        <v>8.1327297439987411E-3</v>
      </c>
      <c r="V21" s="244">
        <f t="shared" si="2"/>
        <v>8.1327297439987411E-3</v>
      </c>
      <c r="X21" s="238"/>
      <c r="Y21" s="239"/>
      <c r="Z21" s="239"/>
      <c r="AA21" s="243"/>
      <c r="AB21" s="243"/>
    </row>
    <row r="22" spans="1:30" ht="15" customHeight="1" x14ac:dyDescent="0.15">
      <c r="A22" s="57" t="s">
        <v>713</v>
      </c>
      <c r="B22" s="58" t="s">
        <v>690</v>
      </c>
      <c r="M22" s="244">
        <v>0.35289999999999999</v>
      </c>
      <c r="N22" s="244">
        <v>0.33040000000000003</v>
      </c>
      <c r="O22" s="244">
        <v>0.2833</v>
      </c>
      <c r="P22" s="244">
        <v>0.1971</v>
      </c>
      <c r="Q22" s="244">
        <v>0.1784</v>
      </c>
      <c r="R22" s="244">
        <v>0.18240000000000001</v>
      </c>
      <c r="S22" s="244">
        <v>0.16370000000000001</v>
      </c>
      <c r="T22" s="244">
        <v>0.15</v>
      </c>
      <c r="U22" s="244">
        <v>0.13730000000000001</v>
      </c>
      <c r="V22" s="244">
        <v>0.1206</v>
      </c>
      <c r="X22" s="238"/>
      <c r="Y22" s="239">
        <f>(1+Y24)/(1+Y23)-1</f>
        <v>0.53933357459314824</v>
      </c>
      <c r="Z22" s="239">
        <f>(1+Z24)/(1+Z23)-1</f>
        <v>0.40517350972447375</v>
      </c>
      <c r="AA22" s="243">
        <f>(1+AA24)/(1+AA23)-1</f>
        <v>0.2071173893455549</v>
      </c>
      <c r="AB22" s="243">
        <f>(1+AB24)/(1+AB23)-1</f>
        <v>0.14209365184668576</v>
      </c>
    </row>
    <row r="23" spans="1:30" ht="15" customHeight="1" x14ac:dyDescent="0.15">
      <c r="A23" s="57" t="s">
        <v>714</v>
      </c>
      <c r="B23" s="58" t="s">
        <v>690</v>
      </c>
      <c r="M23" s="244">
        <v>0.02</v>
      </c>
      <c r="N23" s="244">
        <v>0.02</v>
      </c>
      <c r="O23" s="244">
        <v>0.02</v>
      </c>
      <c r="P23" s="244">
        <v>0.02</v>
      </c>
      <c r="Q23" s="244">
        <v>0.02</v>
      </c>
      <c r="R23" s="244">
        <v>0.02</v>
      </c>
      <c r="S23" s="244">
        <v>0.02</v>
      </c>
      <c r="T23" s="244">
        <v>0.02</v>
      </c>
      <c r="U23" s="244">
        <v>0.02</v>
      </c>
      <c r="V23" s="244">
        <v>0.02</v>
      </c>
      <c r="X23" s="238"/>
      <c r="Y23" s="239">
        <f>M23</f>
        <v>0.02</v>
      </c>
      <c r="Z23" s="239">
        <f>M23</f>
        <v>0.02</v>
      </c>
      <c r="AA23" s="243">
        <f>AVERAGE(O23:R23)</f>
        <v>0.02</v>
      </c>
      <c r="AB23" s="243">
        <f>AVERAGE(S23:V23)</f>
        <v>0.02</v>
      </c>
    </row>
    <row r="24" spans="1:30" ht="15" customHeight="1" x14ac:dyDescent="0.15">
      <c r="A24" s="57" t="s">
        <v>715</v>
      </c>
      <c r="B24" s="58" t="s">
        <v>690</v>
      </c>
      <c r="M24" s="243">
        <f t="shared" ref="M24:V24" si="3">(1+M22)*(1+M23)-1</f>
        <v>0.37995800000000002</v>
      </c>
      <c r="N24" s="243">
        <f t="shared" si="3"/>
        <v>0.35700799999999999</v>
      </c>
      <c r="O24" s="243">
        <f t="shared" si="3"/>
        <v>0.30896600000000007</v>
      </c>
      <c r="P24" s="243">
        <f t="shared" si="3"/>
        <v>0.22104200000000018</v>
      </c>
      <c r="Q24" s="243">
        <f t="shared" si="3"/>
        <v>0.20196799999999993</v>
      </c>
      <c r="R24" s="243">
        <f t="shared" si="3"/>
        <v>0.20604800000000001</v>
      </c>
      <c r="S24" s="243">
        <f t="shared" si="3"/>
        <v>0.18697399999999997</v>
      </c>
      <c r="T24" s="243">
        <f t="shared" si="3"/>
        <v>0.17299999999999982</v>
      </c>
      <c r="U24" s="243">
        <f t="shared" si="3"/>
        <v>0.16004599999999991</v>
      </c>
      <c r="V24" s="243">
        <f t="shared" si="3"/>
        <v>0.14301200000000014</v>
      </c>
      <c r="X24" s="238"/>
      <c r="Y24" s="239">
        <f>IF(Segment!W56=0,0,(Segment!X56-Segment!W56)/Segment!W56)</f>
        <v>0.57012024608501122</v>
      </c>
      <c r="Z24" s="239">
        <f>IF(Segment!X56=0,0,(Segment!Y56-Segment!X56)/Segment!X56)</f>
        <v>0.43327697991896336</v>
      </c>
      <c r="AA24" s="243">
        <f>IF(Segment!Y56=0,0,(Segment!Z56-Segment!Y56)/Segment!Y56)</f>
        <v>0.23125973713246606</v>
      </c>
      <c r="AB24" s="243">
        <f>IF(Segment!Z56=0,0,(Segment!AA56-Segment!Z56)/Segment!Z56)</f>
        <v>0.16493552488361959</v>
      </c>
    </row>
    <row r="25" spans="1:30" ht="15" customHeight="1" x14ac:dyDescent="0.15">
      <c r="A25" s="57" t="s">
        <v>716</v>
      </c>
      <c r="B25" s="58" t="s">
        <v>690</v>
      </c>
      <c r="M25" s="244">
        <v>0.312</v>
      </c>
      <c r="N25" s="244">
        <v>0.35899999999999999</v>
      </c>
      <c r="O25" s="244">
        <v>0.28699999999999998</v>
      </c>
      <c r="P25" s="244">
        <v>0.18099999999999999</v>
      </c>
      <c r="Q25" s="244">
        <v>0.158</v>
      </c>
      <c r="R25" s="244">
        <v>0.152</v>
      </c>
      <c r="S25" s="244">
        <v>0.14599999999999999</v>
      </c>
      <c r="T25" s="244">
        <v>0.14099999999999999</v>
      </c>
      <c r="U25" s="244">
        <v>0.13600000000000001</v>
      </c>
      <c r="V25" s="244">
        <v>0.13200000000000001</v>
      </c>
      <c r="X25" s="238"/>
      <c r="Y25" s="239">
        <f>IF(Segment!W9=0,0,(Segment!X9-Segment!W9)/Segment!W9)</f>
        <v>0.4500032656260205</v>
      </c>
      <c r="Z25" s="239">
        <f>IF(Segment!X9=0,0,(Segment!Y9-Segment!X9)/Segment!X9)</f>
        <v>0.30915990270708527</v>
      </c>
      <c r="AA25" s="243">
        <f>IF(Segment!Y9=0,0,(Segment!Z9-Segment!Y9)/Segment!Y9)</f>
        <v>0.19033328139167216</v>
      </c>
      <c r="AB25" s="243">
        <f>IF(Segment!Z9=0,0,(Segment!AA9-Segment!Z9)/Segment!Z9)</f>
        <v>0.13854564188829988</v>
      </c>
    </row>
    <row r="26" spans="1:30" ht="15" customHeight="1" x14ac:dyDescent="0.15">
      <c r="A26" s="57"/>
      <c r="B26" s="58"/>
    </row>
    <row r="27" spans="1:30" ht="15" customHeight="1" x14ac:dyDescent="0.15">
      <c r="A27" s="56" t="s">
        <v>717</v>
      </c>
      <c r="B27" s="104"/>
    </row>
    <row r="28" spans="1:30" ht="15" customHeight="1" x14ac:dyDescent="0.15">
      <c r="A28" s="57" t="s">
        <v>718</v>
      </c>
      <c r="B28" s="58" t="s">
        <v>690</v>
      </c>
      <c r="C28" s="76">
        <f>IF(Segment!B55=0,0,Segment!B73/Segment!B55)</f>
        <v>0.75179713340683574</v>
      </c>
      <c r="D28" s="76">
        <f>IF(Segment!C55=0,0,Segment!C73/Segment!C55)</f>
        <v>0.71269757241170684</v>
      </c>
      <c r="E28" s="76">
        <f>IF(Segment!D55=0,0,Segment!D73/Segment!D55)</f>
        <v>0.71146410619925249</v>
      </c>
      <c r="F28" s="76">
        <f>IF(Segment!E55=0,0,Segment!E73/Segment!E55)</f>
        <v>0.69092019092019097</v>
      </c>
      <c r="G28" s="76">
        <f>IF(Segment!F55=0,0,Segment!F73/Segment!F55)</f>
        <v>0.55707393467882493</v>
      </c>
      <c r="H28" s="76">
        <f>IF(Segment!G55=0,0,Segment!G73/Segment!G55)</f>
        <v>0.68624035227795122</v>
      </c>
      <c r="I28" s="76">
        <f>IF(Segment!H55=0,0,Segment!H73/Segment!H55)</f>
        <v>0.70167753594719884</v>
      </c>
      <c r="J28" s="76">
        <f>IF(Segment!I55=0,0,Segment!I73/Segment!I55)</f>
        <v>0.71372727125269664</v>
      </c>
      <c r="K28" s="76">
        <f>IF(Segment!J55=0,0,Segment!J73/Segment!J55)</f>
        <v>0.7154258886653253</v>
      </c>
      <c r="L28" s="76">
        <f>IF(Segment!K55=0,0,Segment!K73/Segment!K55)</f>
        <v>0.71004201633087582</v>
      </c>
      <c r="M28" s="76">
        <f>IF(Segment!L55=0,0,Segment!L73/Segment!L55)</f>
        <v>0.70494295281327302</v>
      </c>
      <c r="N28" s="76">
        <f>IF(Segment!M55=0,0,Segment!M73/Segment!M55)</f>
        <v>0.6751956407625751</v>
      </c>
      <c r="O28" s="76">
        <f>IF(Segment!N55=0,0,Segment!N73/Segment!N55)</f>
        <v>0.68146280191249831</v>
      </c>
      <c r="P28" s="76">
        <f>IF(Segment!O55=0,0,Segment!O73/Segment!O55)</f>
        <v>0.68672613322456488</v>
      </c>
      <c r="Q28" s="76">
        <f>IF(Segment!P55=0,0,Segment!P73/Segment!P55)</f>
        <v>0.69011271726265</v>
      </c>
      <c r="R28" s="76">
        <f>IF(Segment!Q55=0,0,Segment!Q73/Segment!Q55)</f>
        <v>0.69125495608321941</v>
      </c>
      <c r="S28" s="76">
        <f>IF(Segment!R55=0,0,Segment!R73/Segment!R55)</f>
        <v>0.69198331050027273</v>
      </c>
      <c r="T28" s="76">
        <f>IF(Segment!S55=0,0,Segment!S73/Segment!S55)</f>
        <v>0.69144071277679742</v>
      </c>
      <c r="U28" s="76">
        <f>IF(Segment!T55=0,0,Segment!T73/Segment!T55)</f>
        <v>0.691010631530663</v>
      </c>
      <c r="V28" s="76">
        <f>IF(Segment!U55=0,0,Segment!U73/Segment!U55)</f>
        <v>0.68983505650310972</v>
      </c>
      <c r="X28" s="76">
        <f>IF(Segment!W55=0,0,Segment!W73/Segment!W55)</f>
        <v>0.71324434346303134</v>
      </c>
      <c r="Y28" s="76">
        <f>IF(Segment!X55=0,0,Segment!X73/Segment!X55)</f>
        <v>0.67263113826306731</v>
      </c>
      <c r="Z28" s="76">
        <f>IF(Segment!Y55=0,0,Segment!Y73/Segment!Y55)</f>
        <v>0.69946068280839035</v>
      </c>
      <c r="AA28" s="76">
        <f>IF(Segment!Z55=0,0,Segment!Z73/Segment!Z55)</f>
        <v>0.68785470282513039</v>
      </c>
      <c r="AB28" s="76">
        <f>IF(Segment!AA55=0,0,Segment!AA73/Segment!AA55)</f>
        <v>0.69103156796295673</v>
      </c>
      <c r="AD28" s="58" t="s">
        <v>719</v>
      </c>
    </row>
    <row r="29" spans="1:30" ht="15" customHeight="1" x14ac:dyDescent="0.15">
      <c r="A29" s="57" t="s">
        <v>720</v>
      </c>
      <c r="B29" s="58" t="s">
        <v>690</v>
      </c>
      <c r="C29" s="76">
        <f>IF(Segment!B56=0,0,Segment!B74/Segment!B56)</f>
        <v>0.36835856337192047</v>
      </c>
      <c r="D29" s="76">
        <f>IF(Segment!C56=0,0,Segment!C74/Segment!C56)</f>
        <v>0.38091263216471899</v>
      </c>
      <c r="E29" s="76">
        <f>IF(Segment!D56=0,0,Segment!D74/Segment!D56)</f>
        <v>0.37123084527928818</v>
      </c>
      <c r="F29" s="76">
        <f>IF(Segment!E56=0,0,Segment!E74/Segment!E56)</f>
        <v>0.29559939301972687</v>
      </c>
      <c r="G29" s="76">
        <f>IF(Segment!F56=0,0,Segment!F74/Segment!F56)</f>
        <v>0.36664431030628214</v>
      </c>
      <c r="H29" s="76">
        <f>IF(Segment!G56=0,0,Segment!G74/Segment!G56)</f>
        <v>0.41426459719142644</v>
      </c>
      <c r="I29" s="76">
        <f>IF(Segment!H56=0,0,Segment!H74/Segment!H56)</f>
        <v>0.41751393899639228</v>
      </c>
      <c r="J29" s="76">
        <f>IF(Segment!I56=0,0,Segment!I74/Segment!I56)</f>
        <v>0.42124768375540456</v>
      </c>
      <c r="K29" s="76">
        <f>IF(Segment!J56=0,0,Segment!J74/Segment!J56)</f>
        <v>0.41627742392073602</v>
      </c>
      <c r="L29" s="76">
        <f>IF(Segment!K56=0,0,Segment!K74/Segment!K56)</f>
        <v>0.49217369351173945</v>
      </c>
      <c r="M29" s="233">
        <v>0.42</v>
      </c>
      <c r="N29" s="233">
        <v>0.42</v>
      </c>
      <c r="O29" s="233">
        <v>0.42</v>
      </c>
      <c r="P29" s="233">
        <v>0.41</v>
      </c>
      <c r="Q29" s="233">
        <v>0.4</v>
      </c>
      <c r="R29" s="233">
        <v>0.4</v>
      </c>
      <c r="S29" s="233">
        <v>0.39</v>
      </c>
      <c r="T29" s="233">
        <v>0.39</v>
      </c>
      <c r="U29" s="233">
        <v>0.38</v>
      </c>
      <c r="V29" s="233">
        <v>0.38</v>
      </c>
      <c r="X29" s="76">
        <f>IF(Segment!W56=0,0,Segment!W74/Segment!W56)</f>
        <v>0.35556487695749439</v>
      </c>
      <c r="Y29" s="76">
        <f>IF(Segment!X56=0,0,Segment!X74/Segment!X56)</f>
        <v>0.40767620998263504</v>
      </c>
      <c r="Z29" s="76">
        <f>IF(Segment!Y56=0,0,Segment!Y74/Segment!Y56)</f>
        <v>0.43694503098664372</v>
      </c>
      <c r="AA29" s="76">
        <f>IF(Segment!Z56=0,0,Segment!Z74/Segment!Z56)</f>
        <v>0.4071071893398282</v>
      </c>
      <c r="AB29" s="76">
        <f>IF(Segment!AA56=0,0,Segment!AA74/Segment!AA56)</f>
        <v>0.38483492800783142</v>
      </c>
      <c r="AD29" s="58" t="s">
        <v>721</v>
      </c>
    </row>
    <row r="30" spans="1:30" ht="15" customHeight="1" x14ac:dyDescent="0.15">
      <c r="A30" s="57" t="s">
        <v>722</v>
      </c>
      <c r="B30" s="58" t="s">
        <v>154</v>
      </c>
      <c r="C30" s="245">
        <f>Raw_Data!B56</f>
        <v>1011</v>
      </c>
      <c r="D30" s="245">
        <f>Raw_Data!C56</f>
        <v>1153</v>
      </c>
      <c r="E30" s="245">
        <f>Raw_Data!D56</f>
        <v>1252</v>
      </c>
      <c r="F30" s="245">
        <f>Raw_Data!E56</f>
        <v>1321</v>
      </c>
      <c r="G30" s="245">
        <f>Raw_Data!F56</f>
        <v>1474</v>
      </c>
      <c r="H30" s="245">
        <f>Raw_Data!G56</f>
        <v>1625</v>
      </c>
      <c r="I30" s="245">
        <f>Raw_Data!H56</f>
        <v>1654</v>
      </c>
      <c r="J30" s="245">
        <f>Raw_Data!I56</f>
        <v>1633</v>
      </c>
      <c r="K30" s="245">
        <f>Raw_Data!J56</f>
        <v>1928</v>
      </c>
      <c r="L30" s="245">
        <f>Raw_Data!K56</f>
        <v>2026</v>
      </c>
      <c r="M30" s="246">
        <v>2100</v>
      </c>
      <c r="N30" s="246">
        <v>2160</v>
      </c>
      <c r="O30" s="246">
        <v>2220</v>
      </c>
      <c r="P30" s="246">
        <v>2280</v>
      </c>
      <c r="Q30" s="246">
        <v>2340</v>
      </c>
      <c r="R30" s="246">
        <v>2400</v>
      </c>
      <c r="S30" s="246">
        <v>2460</v>
      </c>
      <c r="T30" s="246">
        <v>2520</v>
      </c>
      <c r="U30" s="246">
        <v>2580</v>
      </c>
      <c r="V30" s="246">
        <v>2640</v>
      </c>
      <c r="X30" s="77">
        <f>SUM(C30:F30)</f>
        <v>4737</v>
      </c>
      <c r="Y30" s="77">
        <f>SUM(G30:J30)</f>
        <v>6386</v>
      </c>
      <c r="Z30" s="77">
        <f>SUM(K30:N30)</f>
        <v>8214</v>
      </c>
      <c r="AA30" s="77">
        <f>SUM(O30:R30)</f>
        <v>9240</v>
      </c>
      <c r="AB30" s="77">
        <f>SUM(S30:V30)</f>
        <v>10200</v>
      </c>
      <c r="AD30" s="58" t="s">
        <v>723</v>
      </c>
    </row>
    <row r="31" spans="1:30" ht="15" customHeight="1" x14ac:dyDescent="0.15">
      <c r="A31" s="57" t="s">
        <v>724</v>
      </c>
      <c r="B31" s="58" t="s">
        <v>154</v>
      </c>
      <c r="C31" s="77">
        <f>-(Raw_Data!B91+Raw_Data!B92+Raw_Data!B93+Raw_Data!B94)</f>
        <v>368</v>
      </c>
      <c r="D31" s="77">
        <f>-(Raw_Data!C91+Raw_Data!C92+Raw_Data!C93+Raw_Data!C94)</f>
        <v>421</v>
      </c>
      <c r="E31" s="77">
        <f>-(Raw_Data!D91+Raw_Data!D92+Raw_Data!D93+Raw_Data!D94)</f>
        <v>462</v>
      </c>
      <c r="F31" s="77">
        <f>-(Raw_Data!E91+Raw_Data!E92+Raw_Data!E93+Raw_Data!E94)</f>
        <v>517</v>
      </c>
      <c r="G31" s="77">
        <f>-(Raw_Data!F91+Raw_Data!F92+Raw_Data!F93+Raw_Data!F94)</f>
        <v>582</v>
      </c>
      <c r="H31" s="77">
        <f>-(Raw_Data!G91+Raw_Data!G92+Raw_Data!G93+Raw_Data!G94)</f>
        <v>541</v>
      </c>
      <c r="I31" s="77">
        <f>-(Raw_Data!H91+Raw_Data!H92+Raw_Data!H93+Raw_Data!H94)</f>
        <v>602</v>
      </c>
      <c r="J31" s="77">
        <f>-(Raw_Data!I91+Raw_Data!I92+Raw_Data!I93+Raw_Data!I94)</f>
        <v>798</v>
      </c>
      <c r="K31" s="77">
        <f>-(Raw_Data!J91+Raw_Data!J92+Raw_Data!J93+Raw_Data!J94)</f>
        <v>812</v>
      </c>
      <c r="L31" s="77">
        <f>-(Raw_Data!K91+Raw_Data!K92+Raw_Data!K93+Raw_Data!K94)</f>
        <v>834</v>
      </c>
      <c r="M31" s="246">
        <v>850</v>
      </c>
      <c r="N31" s="246">
        <v>870</v>
      </c>
      <c r="O31" s="246">
        <v>900</v>
      </c>
      <c r="P31" s="246">
        <v>930</v>
      </c>
      <c r="Q31" s="246">
        <v>960</v>
      </c>
      <c r="R31" s="246">
        <v>990</v>
      </c>
      <c r="S31" s="246">
        <v>1020</v>
      </c>
      <c r="T31" s="246">
        <v>1050</v>
      </c>
      <c r="U31" s="246">
        <v>1080</v>
      </c>
      <c r="V31" s="246">
        <v>1110</v>
      </c>
      <c r="X31" s="77">
        <f>SUM(C31:F31)</f>
        <v>1768</v>
      </c>
      <c r="Y31" s="77">
        <f>SUM(G31:J31)</f>
        <v>2523</v>
      </c>
      <c r="Z31" s="77">
        <f>SUM(K31:N31)</f>
        <v>3366</v>
      </c>
      <c r="AA31" s="77">
        <f>SUM(O31:R31)</f>
        <v>3780</v>
      </c>
      <c r="AB31" s="77">
        <f>SUM(S31:V31)</f>
        <v>4260</v>
      </c>
      <c r="AD31" s="58" t="s">
        <v>725</v>
      </c>
    </row>
    <row r="32" spans="1:30" ht="15" customHeight="1" x14ac:dyDescent="0.15">
      <c r="A32" s="57"/>
      <c r="B32" s="58"/>
      <c r="C32" s="77"/>
      <c r="D32" s="77"/>
      <c r="E32" s="77"/>
      <c r="F32" s="77"/>
      <c r="G32" s="77"/>
      <c r="H32" s="77"/>
      <c r="I32" s="77"/>
      <c r="J32" s="77"/>
      <c r="K32" s="77"/>
      <c r="L32" s="77"/>
      <c r="M32" s="77"/>
      <c r="N32" s="77"/>
      <c r="O32" s="77"/>
      <c r="P32" s="77"/>
      <c r="Q32" s="77"/>
      <c r="R32" s="77"/>
      <c r="S32" s="77"/>
      <c r="T32" s="77"/>
      <c r="U32" s="77"/>
      <c r="V32" s="77"/>
      <c r="X32" s="77"/>
      <c r="Y32" s="77"/>
      <c r="Z32" s="77"/>
      <c r="AA32" s="77"/>
      <c r="AB32" s="77"/>
      <c r="AD32" s="58"/>
    </row>
    <row r="33" spans="1:30" ht="15" customHeight="1" x14ac:dyDescent="0.15">
      <c r="A33" s="56" t="s">
        <v>726</v>
      </c>
    </row>
    <row r="34" spans="1:30" ht="15" customHeight="1" x14ac:dyDescent="0.15">
      <c r="A34" s="57" t="s">
        <v>244</v>
      </c>
      <c r="B34" s="58" t="s">
        <v>690</v>
      </c>
      <c r="C34" s="76">
        <f>IF(IS!B7=0,0,IS!B9/IS!B7)</f>
        <v>0.78352019659038552</v>
      </c>
      <c r="D34" s="76">
        <f>IF(IS!C7=0,0,IS!C9/IS!C7)</f>
        <v>0.75146471371504664</v>
      </c>
      <c r="E34" s="76">
        <f>IF(IS!D7=0,0,IS!D9/IS!D7)</f>
        <v>0.74556752750698363</v>
      </c>
      <c r="F34" s="76">
        <f>IF(IS!E7=0,0,IS!E9/IS!E7)</f>
        <v>0.73028908494571709</v>
      </c>
      <c r="G34" s="76">
        <f>IF(IS!F7=0,0,IS!F9/IS!F7)</f>
        <v>0.60523807362353044</v>
      </c>
      <c r="H34" s="76">
        <f>IF(IS!G7=0,0,IS!G9/IS!G7)</f>
        <v>0.72423678411740799</v>
      </c>
      <c r="I34" s="76">
        <f>IF(IS!H7=0,0,IS!H9/IS!H7)</f>
        <v>0.7341157071185489</v>
      </c>
      <c r="J34" s="76">
        <f>IF(IS!I7=0,0,IS!I9/IS!I7)</f>
        <v>0.74996697344665109</v>
      </c>
      <c r="K34" s="76">
        <f>IF(IS!J7=0,0,IS!J9/IS!J7)</f>
        <v>0.74933529375727503</v>
      </c>
      <c r="L34" s="76">
        <f>IF(IS!K7=0,0,IS!K9/IS!K7)</f>
        <v>0.74975317238440675</v>
      </c>
      <c r="M34" s="233">
        <v>0.74</v>
      </c>
      <c r="N34" s="233">
        <v>0.71499999999999997</v>
      </c>
      <c r="O34" s="233">
        <v>0.72</v>
      </c>
      <c r="P34" s="233">
        <v>0.72399999999999998</v>
      </c>
      <c r="Q34" s="233">
        <v>0.72699999999999998</v>
      </c>
      <c r="R34" s="233">
        <v>0.72899999999999998</v>
      </c>
      <c r="S34" s="233">
        <v>0.72899999999999998</v>
      </c>
      <c r="T34" s="233">
        <v>0.72899999999999998</v>
      </c>
      <c r="U34" s="233">
        <v>0.72899999999999998</v>
      </c>
      <c r="V34" s="233">
        <v>0.72899999999999998</v>
      </c>
      <c r="X34" s="76">
        <f>IF(IS!W7=0,0,IS!W9/IS!W7)</f>
        <v>0.74989463359310937</v>
      </c>
      <c r="Y34" s="76">
        <f>IF(IS!X7=0,0,IS!X9/IS!X7)</f>
        <v>0.71068084357547079</v>
      </c>
      <c r="Z34" s="76">
        <f>IF(IS!Y7=0,0,IS!Y9/IS!Y7)</f>
        <v>0.73685198009603881</v>
      </c>
      <c r="AA34" s="76">
        <f>IF(IS!Z7=0,0,IS!Z9/IS!Z7)</f>
        <v>0.72540851262082662</v>
      </c>
      <c r="AB34" s="76">
        <f>IF(IS!AA7=0,0,IS!AA9/IS!AA7)</f>
        <v>0.72899999999999998</v>
      </c>
      <c r="AD34" s="58" t="s">
        <v>727</v>
      </c>
    </row>
    <row r="35" spans="1:30" ht="15" customHeight="1" x14ac:dyDescent="0.15">
      <c r="A35" s="57" t="s">
        <v>728</v>
      </c>
      <c r="B35" s="58" t="s">
        <v>154</v>
      </c>
      <c r="C35" s="77">
        <f>-IS!B10</f>
        <v>2720</v>
      </c>
      <c r="D35" s="77">
        <f>-IS!C10</f>
        <v>3090</v>
      </c>
      <c r="E35" s="77">
        <f>-IS!D10</f>
        <v>3390</v>
      </c>
      <c r="F35" s="77">
        <f>-IS!E10</f>
        <v>3714</v>
      </c>
      <c r="G35" s="77">
        <f>-IS!F10</f>
        <v>3989</v>
      </c>
      <c r="H35" s="77">
        <f>-IS!G10</f>
        <v>4291</v>
      </c>
      <c r="I35" s="77">
        <f>-IS!H10</f>
        <v>4705</v>
      </c>
      <c r="J35" s="77">
        <f>-IS!I10</f>
        <v>5512</v>
      </c>
      <c r="K35" s="77">
        <f>-IS!J10</f>
        <v>6321</v>
      </c>
      <c r="L35" s="77">
        <f>-IS!K10</f>
        <v>7054</v>
      </c>
      <c r="M35" s="246">
        <v>7850</v>
      </c>
      <c r="N35" s="246">
        <v>8600</v>
      </c>
      <c r="O35" s="246">
        <v>9600</v>
      </c>
      <c r="P35" s="246">
        <v>10500</v>
      </c>
      <c r="Q35" s="246">
        <v>11400</v>
      </c>
      <c r="R35" s="246">
        <v>12300</v>
      </c>
      <c r="S35" s="246">
        <v>13000</v>
      </c>
      <c r="T35" s="246">
        <v>13700</v>
      </c>
      <c r="U35" s="246">
        <v>14400</v>
      </c>
      <c r="V35" s="246">
        <v>15100</v>
      </c>
      <c r="X35" s="77">
        <f>SUM(C35:F35)</f>
        <v>12914</v>
      </c>
      <c r="Y35" s="77">
        <f>SUM(G35:J35)</f>
        <v>18497</v>
      </c>
      <c r="Z35" s="77">
        <f>SUM(K35:N35)</f>
        <v>29825</v>
      </c>
      <c r="AA35" s="77">
        <f>SUM(O35:R35)</f>
        <v>43800</v>
      </c>
      <c r="AB35" s="77">
        <f>SUM(S35:V35)</f>
        <v>56200</v>
      </c>
      <c r="AD35" s="58" t="s">
        <v>729</v>
      </c>
    </row>
    <row r="36" spans="1:30" ht="15" customHeight="1" x14ac:dyDescent="0.15">
      <c r="A36" s="57" t="s">
        <v>730</v>
      </c>
      <c r="B36" s="58" t="s">
        <v>154</v>
      </c>
      <c r="C36" s="77">
        <f>-IS!B11</f>
        <v>777</v>
      </c>
      <c r="D36" s="77">
        <f>-IS!C11</f>
        <v>842</v>
      </c>
      <c r="E36" s="77">
        <f>-IS!D11</f>
        <v>897</v>
      </c>
      <c r="F36" s="77">
        <f>-IS!E11</f>
        <v>975</v>
      </c>
      <c r="G36" s="77">
        <f>-IS!F11</f>
        <v>1041</v>
      </c>
      <c r="H36" s="77">
        <f>-IS!G11</f>
        <v>1122</v>
      </c>
      <c r="I36" s="77">
        <f>-IS!H11</f>
        <v>1134</v>
      </c>
      <c r="J36" s="77">
        <f>-IS!I11</f>
        <v>1282</v>
      </c>
      <c r="K36" s="77">
        <f>-IS!J11</f>
        <v>1300</v>
      </c>
      <c r="L36" s="77">
        <f>-IS!K11</f>
        <v>1354</v>
      </c>
      <c r="M36" s="246">
        <v>1350</v>
      </c>
      <c r="N36" s="246">
        <v>1430</v>
      </c>
      <c r="O36" s="246">
        <v>1510</v>
      </c>
      <c r="P36" s="246">
        <v>1590</v>
      </c>
      <c r="Q36" s="246">
        <v>1670</v>
      </c>
      <c r="R36" s="246">
        <v>1750</v>
      </c>
      <c r="S36" s="246">
        <v>1820</v>
      </c>
      <c r="T36" s="246">
        <v>1890</v>
      </c>
      <c r="U36" s="246">
        <v>1960</v>
      </c>
      <c r="V36" s="246">
        <v>2030</v>
      </c>
      <c r="X36" s="77">
        <f>SUM(C36:F36)</f>
        <v>3491</v>
      </c>
      <c r="Y36" s="77">
        <f>SUM(G36:J36)</f>
        <v>4579</v>
      </c>
      <c r="Z36" s="77">
        <f>SUM(K36:N36)</f>
        <v>5434</v>
      </c>
      <c r="AA36" s="77">
        <f>SUM(O36:R36)</f>
        <v>6520</v>
      </c>
      <c r="AB36" s="77">
        <f>SUM(S36:V36)</f>
        <v>7700</v>
      </c>
      <c r="AD36" s="58" t="s">
        <v>731</v>
      </c>
    </row>
    <row r="37" spans="1:30" ht="15" customHeight="1" x14ac:dyDescent="0.15">
      <c r="A37" s="57" t="s">
        <v>732</v>
      </c>
      <c r="B37" s="58" t="s">
        <v>690</v>
      </c>
      <c r="D37" s="76">
        <f>IF((BS!B7+BS!B8-N(Raw_Data!B368))=0,0,IS!C16/(BS!B7+BS!B8-N(Raw_Data!B368)))</f>
        <v>1.412303581652777E-2</v>
      </c>
      <c r="E37" s="76">
        <f>IF((BS!C7+BS!C8-N(Raw_Data!C368))=0,0,IS!D16/(BS!C7+BS!C8-N(Raw_Data!C368)))</f>
        <v>1.3563218390804597E-2</v>
      </c>
      <c r="F37" s="76">
        <f>IF((BS!D7+BS!D8-N(Raw_Data!D368))=0,0,IS!E16/(BS!D7+BS!D8-N(Raw_Data!D368)))</f>
        <v>1.3277210486657833E-2</v>
      </c>
      <c r="G37" s="76">
        <f>IF((BS!E7+BS!E8-N(Raw_Data!E368))=0,0,IS!F16/(BS!E7+BS!E8-N(Raw_Data!E368)))</f>
        <v>1.1918537375607498E-2</v>
      </c>
      <c r="H37" s="76">
        <f>IF((BS!F7+BS!F8-N(Raw_Data!F368))=0,0,IS!G16/(BS!F7+BS!F8-N(Raw_Data!F368)))</f>
        <v>1.1026056508539606E-2</v>
      </c>
      <c r="I37" s="76">
        <f>IF((BS!G7+BS!G8-N(Raw_Data!G368))=0,0,IS!H16/(BS!G7+BS!G8-N(Raw_Data!G368)))</f>
        <v>1.0987656494867144E-2</v>
      </c>
      <c r="J37" s="76">
        <f>IF((BS!H7+BS!H8-N(Raw_Data!H368))=0,0,IS!I16/(BS!H7+BS!H8-N(Raw_Data!H368)))</f>
        <v>9.3717001055966202E-3</v>
      </c>
      <c r="K37" s="76">
        <f>IF((BS!I7+BS!I8-N(Raw_Data!I368))=0,0,IS!J16/(BS!I7+BS!I8-N(Raw_Data!I368)))</f>
        <v>1.0871753573585665E-2</v>
      </c>
      <c r="L37" s="76">
        <f>IF((BS!J7+BS!J8-N(Raw_Data!J368))=0,0,IS!K16/(BS!J7+BS!J8-N(Raw_Data!J368)))</f>
        <v>9.8539783450879107E-3</v>
      </c>
      <c r="M37" s="233">
        <f t="shared" ref="M37:V37" si="4">L37</f>
        <v>9.8539783450879107E-3</v>
      </c>
      <c r="N37" s="233">
        <f t="shared" si="4"/>
        <v>9.8539783450879107E-3</v>
      </c>
      <c r="O37" s="233">
        <f t="shared" si="4"/>
        <v>9.8539783450879107E-3</v>
      </c>
      <c r="P37" s="233">
        <f t="shared" si="4"/>
        <v>9.8539783450879107E-3</v>
      </c>
      <c r="Q37" s="233">
        <f t="shared" si="4"/>
        <v>9.8539783450879107E-3</v>
      </c>
      <c r="R37" s="233">
        <f t="shared" si="4"/>
        <v>9.8539783450879107E-3</v>
      </c>
      <c r="S37" s="233">
        <f t="shared" si="4"/>
        <v>9.8539783450879107E-3</v>
      </c>
      <c r="T37" s="233">
        <f t="shared" si="4"/>
        <v>9.8539783450879107E-3</v>
      </c>
      <c r="U37" s="233">
        <f t="shared" si="4"/>
        <v>9.8539783450879107E-3</v>
      </c>
      <c r="V37" s="233">
        <f t="shared" si="4"/>
        <v>9.8539783450879107E-3</v>
      </c>
      <c r="Y37" s="76">
        <f>IF((BS!W7+BS!W8)=0,0,IS!X16/(BS!W7+BS!W8))</f>
        <v>5.3205276556352696E-2</v>
      </c>
      <c r="Z37" s="76">
        <f>IF((BS!X7+BS!X8-N(Raw_Data!I368))=0,0,IS!Y16/(BS!X7+BS!X8-N(Raw_Data!I368)))</f>
        <v>4.7011233428550646E-2</v>
      </c>
      <c r="AA37" s="76">
        <f>IF((BS!Y7+BS!Y8-Raw_Data!$K$368)=0,0,IS!Z16/(BS!Y7+BS!Y8-Raw_Data!$K$368))</f>
        <v>5.5044019740455287E-2</v>
      </c>
      <c r="AB37" s="76">
        <f>IF((BS!Z7+BS!Z8-Raw_Data!$K$368)=0,0,IS!AA16/(BS!Z7+BS!Z8-Raw_Data!$K$368))</f>
        <v>5.4276933501651067E-2</v>
      </c>
      <c r="AD37" s="58" t="s">
        <v>733</v>
      </c>
    </row>
    <row r="38" spans="1:30" ht="15" customHeight="1" x14ac:dyDescent="0.15">
      <c r="A38" s="57" t="s">
        <v>734</v>
      </c>
      <c r="B38" s="58" t="s">
        <v>690</v>
      </c>
      <c r="D38" s="76">
        <f>IF((BS!B23+BS!B25)=0,0,-IS!C17/(BS!B23+BS!B25))</f>
        <v>6.2821833161688977E-3</v>
      </c>
      <c r="E38" s="76">
        <f>IF((BS!C23+BS!C25)=0,0,-IS!D17/(BS!C23+BS!C25))</f>
        <v>7.2095496986171849E-3</v>
      </c>
      <c r="F38" s="76">
        <f>IF((BS!D23+BS!D25)=0,0,-IS!E17/(BS!D23+BS!D25))</f>
        <v>7.2086977073977784E-3</v>
      </c>
      <c r="G38" s="76">
        <f>IF((BS!E23+BS!E25)=0,0,-IS!F17/(BS!E23+BS!E25))</f>
        <v>7.4441687344913151E-3</v>
      </c>
      <c r="H38" s="76">
        <f>IF((BS!F23+BS!F25)=0,0,-IS!G17/(BS!F23+BS!F25))</f>
        <v>7.3251417769376178E-3</v>
      </c>
      <c r="I38" s="76">
        <f>IF((BS!G23+BS!G25)=0,0,-IS!H17/(BS!G23+BS!G25))</f>
        <v>7.2052917552563192E-3</v>
      </c>
      <c r="J38" s="76">
        <f>IF((BS!H23+BS!H25)=0,0,-IS!I17/(BS!H23+BS!H25))</f>
        <v>8.6217078067792607E-3</v>
      </c>
      <c r="K38" s="76">
        <f>IF((BS!I23+BS!I25)=0,0,-IS!J17/(BS!I23+BS!I25))</f>
        <v>1.2045347189418989E-2</v>
      </c>
      <c r="L38" s="76">
        <f>IF((BS!J23+BS!J25)=0,0,-IS!K17/(BS!J23+BS!J25))</f>
        <v>2.6800472255017711E-2</v>
      </c>
      <c r="M38" s="233">
        <v>1.2E-2</v>
      </c>
      <c r="N38" s="233">
        <v>1.2E-2</v>
      </c>
      <c r="O38" s="233">
        <v>1.2E-2</v>
      </c>
      <c r="P38" s="233">
        <v>1.2E-2</v>
      </c>
      <c r="Q38" s="233">
        <v>1.2E-2</v>
      </c>
      <c r="R38" s="233">
        <v>1.2E-2</v>
      </c>
      <c r="S38" s="233">
        <v>1.2E-2</v>
      </c>
      <c r="T38" s="233">
        <v>1.2E-2</v>
      </c>
      <c r="U38" s="233">
        <v>1.2E-2</v>
      </c>
      <c r="V38" s="233">
        <v>1.2E-2</v>
      </c>
      <c r="Y38" s="76">
        <f>IF((BS!W23+BS!W25)=0,0,-IS!X17/(BS!W23+BS!W25))</f>
        <v>3.0603804797353185E-2</v>
      </c>
      <c r="Z38" s="76">
        <f>IF((BS!X23+BS!X25)=0,0,-IS!Y17/(BS!X23+BS!X25))</f>
        <v>0.13341804440245633</v>
      </c>
      <c r="AA38" s="76">
        <f>IF((BS!Y23+BS!Y25)=0,0,-IS!Z17/(BS!Y23+BS!Y25))</f>
        <v>4.8000000000000001E-2</v>
      </c>
      <c r="AB38" s="76">
        <f>IF((BS!Z23+BS!Z25)=0,0,-IS!AA17/(BS!Z23+BS!Z25))</f>
        <v>4.8000000000000001E-2</v>
      </c>
      <c r="AD38" s="58" t="s">
        <v>735</v>
      </c>
    </row>
    <row r="39" spans="1:30" ht="15" customHeight="1" x14ac:dyDescent="0.15">
      <c r="A39" s="57" t="s">
        <v>736</v>
      </c>
      <c r="B39" s="58" t="s">
        <v>154</v>
      </c>
      <c r="C39" s="245">
        <f>Raw_Data!B17</f>
        <v>75</v>
      </c>
      <c r="D39" s="245">
        <f>Raw_Data!C17</f>
        <v>189</v>
      </c>
      <c r="E39" s="245">
        <f>Raw_Data!D17</f>
        <v>36</v>
      </c>
      <c r="F39" s="245">
        <f>Raw_Data!E17</f>
        <v>733</v>
      </c>
      <c r="G39" s="245">
        <f>Raw_Data!F17</f>
        <v>-180</v>
      </c>
      <c r="H39" s="245">
        <f>Raw_Data!G17</f>
        <v>2236</v>
      </c>
      <c r="I39" s="245">
        <f>Raw_Data!H17</f>
        <v>1363</v>
      </c>
      <c r="J39" s="245">
        <f>Raw_Data!I17</f>
        <v>5604</v>
      </c>
      <c r="K39" s="245">
        <f>Raw_Data!J17</f>
        <v>15929</v>
      </c>
      <c r="L39" s="245">
        <f>Raw_Data!K17</f>
        <v>7504</v>
      </c>
      <c r="M39" s="246">
        <v>0</v>
      </c>
      <c r="N39" s="246">
        <v>0</v>
      </c>
      <c r="O39" s="246">
        <v>0</v>
      </c>
      <c r="P39" s="246">
        <v>0</v>
      </c>
      <c r="Q39" s="246">
        <v>0</v>
      </c>
      <c r="R39" s="246">
        <v>0</v>
      </c>
      <c r="S39" s="246">
        <v>0</v>
      </c>
      <c r="T39" s="246">
        <v>0</v>
      </c>
      <c r="U39" s="246">
        <v>0</v>
      </c>
      <c r="V39" s="246">
        <v>0</v>
      </c>
      <c r="X39" s="77">
        <f>SUM(C39:F39)</f>
        <v>1033</v>
      </c>
      <c r="Y39" s="77">
        <f>SUM(G39:J39)</f>
        <v>9023</v>
      </c>
      <c r="Z39" s="77">
        <f>SUM(K39:N39)</f>
        <v>23433</v>
      </c>
      <c r="AA39" s="77">
        <f>SUM(O39:R39)</f>
        <v>0</v>
      </c>
      <c r="AB39" s="77">
        <f>SUM(S39:V39)</f>
        <v>0</v>
      </c>
      <c r="AD39" s="58" t="s">
        <v>737</v>
      </c>
    </row>
    <row r="40" spans="1:30" ht="15" customHeight="1" x14ac:dyDescent="0.15">
      <c r="A40" s="57" t="s">
        <v>738</v>
      </c>
      <c r="B40" s="58" t="s">
        <v>690</v>
      </c>
      <c r="C40" s="76">
        <f>IF(IS!B20=0,0,-IS!B21/IS!B20)</f>
        <v>0.13878117946640431</v>
      </c>
      <c r="D40" s="76">
        <f>IF(IS!C20=0,0,-IS!C21/IS!C20)</f>
        <v>0.1360986780472572</v>
      </c>
      <c r="E40" s="76">
        <f>IF(IS!D20=0,0,-IS!D21/IS!D20)</f>
        <v>0.13474637031726117</v>
      </c>
      <c r="F40" s="76">
        <f>IF(IS!E20=0,0,-IS!E21/IS!E20)</f>
        <v>0.1239639925447119</v>
      </c>
      <c r="G40" s="76">
        <f>IF(IS!F20=0,0,-IS!F21/IS!F20)</f>
        <v>0.1430853491556367</v>
      </c>
      <c r="H40" s="76">
        <f>IF(IS!G20=0,0,-IS!G21/IS!G20)</f>
        <v>0.15330385182336731</v>
      </c>
      <c r="I40" s="76">
        <f>IF(IS!H20=0,0,-IS!H21/IS!H20)</f>
        <v>0.15884647827920709</v>
      </c>
      <c r="J40" s="76">
        <f>IF(IS!I20=0,0,-IS!I21/IS!I20)</f>
        <v>0.1475852216357792</v>
      </c>
      <c r="K40" s="76">
        <f>IF(IS!J20=0,0,-IS!J21/IS!J20)</f>
        <v>0.16568673733602277</v>
      </c>
      <c r="L40" s="76">
        <f>IF(IS!K20=0,0,-IS!K21/IS!K20)</f>
        <v>0.16528451759967555</v>
      </c>
      <c r="M40" s="233">
        <v>0.18</v>
      </c>
      <c r="N40" s="233">
        <v>0.17</v>
      </c>
      <c r="O40" s="233">
        <v>0.17</v>
      </c>
      <c r="P40" s="233">
        <v>0.17</v>
      </c>
      <c r="Q40" s="233">
        <v>0.17</v>
      </c>
      <c r="R40" s="233">
        <v>0.17</v>
      </c>
      <c r="S40" s="233">
        <v>0.17</v>
      </c>
      <c r="T40" s="233">
        <v>0.17</v>
      </c>
      <c r="U40" s="233">
        <v>0.17</v>
      </c>
      <c r="V40" s="233">
        <v>0.17</v>
      </c>
      <c r="X40" s="76">
        <f>IF(IS!W20=0,0,-IS!W21/IS!W20)</f>
        <v>0.13264941803727417</v>
      </c>
      <c r="Y40" s="76">
        <f>IF(IS!X20=0,0,-IS!X21/IS!X20)</f>
        <v>0.15117002474372571</v>
      </c>
      <c r="Z40" s="76">
        <f>IF(IS!Y20=0,0,-IS!Y21/IS!Y20)</f>
        <v>0.17028416167745625</v>
      </c>
      <c r="AA40" s="76">
        <f>IF(IS!Z20=0,0,-IS!Z21/IS!Z20)</f>
        <v>0.16999999999999998</v>
      </c>
      <c r="AB40" s="76">
        <f>IF(IS!AA20=0,0,-IS!AA21/IS!AA20)</f>
        <v>0.17</v>
      </c>
      <c r="AD40" s="58" t="s">
        <v>739</v>
      </c>
    </row>
    <row r="41" spans="1:30" ht="15" customHeight="1" x14ac:dyDescent="0.15">
      <c r="A41" s="57" t="s">
        <v>740</v>
      </c>
      <c r="B41" s="58" t="s">
        <v>741</v>
      </c>
      <c r="C41" s="247">
        <f>Raw_Data!B21</f>
        <v>24620</v>
      </c>
      <c r="D41" s="247">
        <f>Raw_Data!C21</f>
        <v>24578</v>
      </c>
      <c r="E41" s="247">
        <f>Raw_Data!D21</f>
        <v>24533</v>
      </c>
      <c r="F41" s="247">
        <f>Raw_Data!E21</f>
        <v>24489</v>
      </c>
      <c r="G41" s="247">
        <f>Raw_Data!F21</f>
        <v>24441</v>
      </c>
      <c r="H41" s="247">
        <f>Raw_Data!G21</f>
        <v>24366</v>
      </c>
      <c r="I41" s="247">
        <f>Raw_Data!H21</f>
        <v>24327</v>
      </c>
      <c r="J41" s="247">
        <f>Raw_Data!I21</f>
        <v>24304</v>
      </c>
      <c r="K41" s="247">
        <f>Raw_Data!J21</f>
        <v>24286</v>
      </c>
      <c r="L41" s="247">
        <f>Raw_Data!K21</f>
        <v>24190</v>
      </c>
      <c r="M41" s="248">
        <f t="shared" ref="M41:V41" si="5">M42-($L$42-$L$41)</f>
        <v>24108.463296480779</v>
      </c>
      <c r="N41" s="248">
        <f t="shared" si="5"/>
        <v>24018.416223276723</v>
      </c>
      <c r="O41" s="248">
        <f t="shared" si="5"/>
        <v>23916.337723003126</v>
      </c>
      <c r="P41" s="248">
        <f t="shared" si="5"/>
        <v>23788.995370144319</v>
      </c>
      <c r="Q41" s="248">
        <f t="shared" si="5"/>
        <v>23642.135804855225</v>
      </c>
      <c r="R41" s="248">
        <f t="shared" si="5"/>
        <v>23479.29129534576</v>
      </c>
      <c r="S41" s="248">
        <f t="shared" si="5"/>
        <v>23298.884835982684</v>
      </c>
      <c r="T41" s="248">
        <f t="shared" si="5"/>
        <v>23113.096105727684</v>
      </c>
      <c r="U41" s="248">
        <f t="shared" si="5"/>
        <v>22921.055199415536</v>
      </c>
      <c r="V41" s="248">
        <f t="shared" si="5"/>
        <v>22725.230811674985</v>
      </c>
      <c r="X41" s="248">
        <f>SUM(C41:F41)/4</f>
        <v>24555</v>
      </c>
      <c r="Y41" s="248">
        <f>SUM(G41:J41)/4</f>
        <v>24359.5</v>
      </c>
      <c r="Z41" s="248">
        <f>SUM(K41:N41)/4</f>
        <v>24150.719879939377</v>
      </c>
      <c r="AA41" s="248">
        <f>SUM(O41:R41)/4</f>
        <v>23706.690048337106</v>
      </c>
      <c r="AB41" s="248">
        <f>SUM(S41:V41)/4</f>
        <v>23014.566738200221</v>
      </c>
      <c r="AD41" s="58" t="s">
        <v>742</v>
      </c>
    </row>
    <row r="42" spans="1:30" ht="15" customHeight="1" x14ac:dyDescent="0.15">
      <c r="A42" s="57" t="s">
        <v>743</v>
      </c>
      <c r="B42" s="58" t="s">
        <v>741</v>
      </c>
      <c r="C42" s="247">
        <f>Raw_Data!B22</f>
        <v>24890</v>
      </c>
      <c r="D42" s="247">
        <f>Raw_Data!C22</f>
        <v>24848</v>
      </c>
      <c r="E42" s="247">
        <f>Raw_Data!D22</f>
        <v>24774</v>
      </c>
      <c r="F42" s="247">
        <f>Raw_Data!E22</f>
        <v>24706</v>
      </c>
      <c r="G42" s="247">
        <f>Raw_Data!F22</f>
        <v>24611</v>
      </c>
      <c r="H42" s="247">
        <f>Raw_Data!G22</f>
        <v>24532</v>
      </c>
      <c r="I42" s="247">
        <f>Raw_Data!H22</f>
        <v>24483</v>
      </c>
      <c r="J42" s="247">
        <f>Raw_Data!I22</f>
        <v>24432</v>
      </c>
      <c r="K42" s="247">
        <f>Raw_Data!J22</f>
        <v>24391</v>
      </c>
      <c r="L42" s="247">
        <f>Raw_Data!K22</f>
        <v>24285</v>
      </c>
      <c r="M42" s="248">
        <f t="shared" ref="M42:V42" si="6">L42-M58/M43</f>
        <v>24203.463296480779</v>
      </c>
      <c r="N42" s="248">
        <f t="shared" si="6"/>
        <v>24113.416223276723</v>
      </c>
      <c r="O42" s="248">
        <f t="shared" si="6"/>
        <v>24011.337723003126</v>
      </c>
      <c r="P42" s="248">
        <f t="shared" si="6"/>
        <v>23883.995370144319</v>
      </c>
      <c r="Q42" s="248">
        <f t="shared" si="6"/>
        <v>23737.135804855225</v>
      </c>
      <c r="R42" s="248">
        <f t="shared" si="6"/>
        <v>23574.29129534576</v>
      </c>
      <c r="S42" s="248">
        <f t="shared" si="6"/>
        <v>23393.884835982684</v>
      </c>
      <c r="T42" s="248">
        <f t="shared" si="6"/>
        <v>23208.096105727684</v>
      </c>
      <c r="U42" s="248">
        <f t="shared" si="6"/>
        <v>23016.055199415536</v>
      </c>
      <c r="V42" s="248">
        <f t="shared" si="6"/>
        <v>22820.230811674985</v>
      </c>
      <c r="X42" s="248">
        <f>SUM(C42:F42)/4</f>
        <v>24804.5</v>
      </c>
      <c r="Y42" s="248">
        <f>SUM(G42:J42)/4</f>
        <v>24514.5</v>
      </c>
      <c r="Z42" s="248">
        <f>SUM(K42:N42)/4</f>
        <v>24248.219879939377</v>
      </c>
      <c r="AA42" s="248">
        <f>SUM(O42:R42)/4</f>
        <v>23801.690048337106</v>
      </c>
      <c r="AB42" s="248">
        <f>SUM(S42:V42)/4</f>
        <v>23109.566738200221</v>
      </c>
      <c r="AD42" s="58" t="s">
        <v>744</v>
      </c>
    </row>
    <row r="43" spans="1:30" ht="15" customHeight="1" x14ac:dyDescent="0.15">
      <c r="A43" s="57" t="s">
        <v>745</v>
      </c>
      <c r="B43" s="58" t="s">
        <v>746</v>
      </c>
      <c r="C43" s="247"/>
      <c r="D43" s="247"/>
      <c r="E43" s="247"/>
      <c r="F43" s="247"/>
      <c r="G43" s="247"/>
      <c r="H43" s="247"/>
      <c r="I43" s="247"/>
      <c r="J43" s="247"/>
      <c r="K43" s="247"/>
      <c r="L43" s="249">
        <f>SUM(I58:L58)/(H42-L42)</f>
        <v>223.94736842105263</v>
      </c>
      <c r="M43" s="250">
        <f>L43*(1+DCF!$B$13)^(1/4)</f>
        <v>230.87104096128132</v>
      </c>
      <c r="N43" s="250">
        <f>M43*(1+DCF!$B$13)^(1/4)</f>
        <v>238.0087693387467</v>
      </c>
      <c r="O43" s="250">
        <f>N43*(1+DCF!$B$13)^(1/4)</f>
        <v>245.3671714143006</v>
      </c>
      <c r="P43" s="250">
        <f>O43*(1+DCF!$B$13)^(1/4)</f>
        <v>252.95306964999997</v>
      </c>
      <c r="Q43" s="250">
        <f>P43*(1+DCF!$B$13)^(1/4)</f>
        <v>260.77349743466345</v>
      </c>
      <c r="R43" s="250">
        <f>Q43*(1+DCF!$B$13)^(1/4)</f>
        <v>268.83570560499197</v>
      </c>
      <c r="S43" s="250">
        <f>R43*(1+DCF!$B$13)^(1/4)</f>
        <v>277.14716916829997</v>
      </c>
      <c r="T43" s="250">
        <f>S43*(1+DCF!$B$13)^(1/4)</f>
        <v>285.71559423308986</v>
      </c>
      <c r="U43" s="250">
        <f>T43*(1+DCF!$B$13)^(1/4)</f>
        <v>294.54892515389565</v>
      </c>
      <c r="V43" s="250">
        <f>U43*(1+DCF!$B$13)^(1/4)</f>
        <v>303.65535189702052</v>
      </c>
      <c r="X43" s="248"/>
      <c r="Y43" s="248"/>
      <c r="Z43" s="248"/>
      <c r="AA43" s="248"/>
      <c r="AB43" s="248"/>
      <c r="AD43" s="58" t="s">
        <v>747</v>
      </c>
    </row>
    <row r="44" spans="1:30" ht="15" customHeight="1" x14ac:dyDescent="0.15">
      <c r="A44" s="56" t="s">
        <v>748</v>
      </c>
    </row>
    <row r="45" spans="1:30" ht="15" customHeight="1" x14ac:dyDescent="0.15">
      <c r="A45" s="57" t="s">
        <v>749</v>
      </c>
      <c r="B45" s="58" t="s">
        <v>750</v>
      </c>
      <c r="C45" s="251">
        <f>IF(IS!B7=0,0,BS!B9/(IS!B7*4)*365)</f>
        <v>43.323078252188601</v>
      </c>
      <c r="D45" s="251">
        <f>IF(IS!C7=0,0,BS!C9/(IS!C7*4)*365)</f>
        <v>42.927596537949398</v>
      </c>
      <c r="E45" s="251">
        <f>IF(IS!D7=0,0,BS!D9/(IS!D7*4)*365)</f>
        <v>46.020359443589307</v>
      </c>
      <c r="F45" s="251">
        <f>IF(IS!E7=0,0,BS!E9/(IS!E7*4)*365)</f>
        <v>53.51201978083445</v>
      </c>
      <c r="G45" s="251">
        <f>IF(IS!F7=0,0,BS!F9/(IS!F7*4)*365)</f>
        <v>45.83416549407653</v>
      </c>
      <c r="H45" s="251">
        <f>IF(IS!G7=0,0,BS!G9/(IS!G7*4)*365)</f>
        <v>54.285775410221845</v>
      </c>
      <c r="I45" s="251">
        <f>IF(IS!H7=0,0,BS!H9/(IS!H7*4)*365)</f>
        <v>53.449264112549557</v>
      </c>
      <c r="J45" s="251">
        <f>IF(IS!I7=0,0,BS!I9/(IS!I7*4)*365)</f>
        <v>51.521753489805796</v>
      </c>
      <c r="K45" s="251">
        <f>IF(IS!J7=0,0,BS!J9/(IS!J7*4)*365)</f>
        <v>45.515989707774303</v>
      </c>
      <c r="L45" s="251">
        <f>IF(IS!K7=0,0,BS!K9/(IS!K7*4)*365)</f>
        <v>59.801225823884593</v>
      </c>
      <c r="M45" s="252">
        <v>60</v>
      </c>
      <c r="N45" s="252">
        <v>60</v>
      </c>
      <c r="O45" s="252">
        <v>60</v>
      </c>
      <c r="P45" s="252">
        <v>60</v>
      </c>
      <c r="Q45" s="252">
        <v>60</v>
      </c>
      <c r="R45" s="252">
        <v>60</v>
      </c>
      <c r="S45" s="252">
        <v>60</v>
      </c>
      <c r="T45" s="252">
        <v>60</v>
      </c>
      <c r="U45" s="252">
        <v>60</v>
      </c>
      <c r="V45" s="252">
        <v>60</v>
      </c>
      <c r="X45" s="251">
        <f>IF(IS!W7=0,0,BS!W9/IS!W7*365)</f>
        <v>64.512785734537957</v>
      </c>
      <c r="Y45" s="251">
        <f>IF(IS!X7=0,0,BS!X9/IS!X7*365)</f>
        <v>65.01907955061175</v>
      </c>
      <c r="Z45" s="251">
        <f>IF(IS!Y7=0,0,BS!Y9/IS!Y7*365)</f>
        <v>70.358158712375484</v>
      </c>
      <c r="AA45" s="251">
        <f>IF(IS!Z7=0,0,BS!Z9/IS!Z7*365)</f>
        <v>69.318062924412658</v>
      </c>
      <c r="AB45" s="251">
        <f>IF(IS!AA7=0,0,BS!AA9/IS!AA7*365)</f>
        <v>63.535341249750196</v>
      </c>
      <c r="AD45" s="58" t="s">
        <v>751</v>
      </c>
    </row>
    <row r="46" spans="1:30" ht="15" customHeight="1" x14ac:dyDescent="0.15">
      <c r="A46" s="57" t="s">
        <v>752</v>
      </c>
      <c r="B46" s="58" t="s">
        <v>750</v>
      </c>
      <c r="C46" s="251">
        <f>IF(IS!B8=0,0,BS!B10/(-IS!B8*4)*365)</f>
        <v>94.90776871230932</v>
      </c>
      <c r="D46" s="251">
        <f>IF(IS!C8=0,0,BS!C10/(-IS!C8*4)*365)</f>
        <v>81.582339941066166</v>
      </c>
      <c r="E46" s="251">
        <f>IF(IS!D8=0,0,BS!D10/(-IS!D8*4)*365)</f>
        <v>78.246414967510646</v>
      </c>
      <c r="F46" s="251">
        <f>IF(IS!E8=0,0,BS!E10/(-IS!E8*4)*365)</f>
        <v>86.708144796380083</v>
      </c>
      <c r="G46" s="251">
        <f>IF(IS!F8=0,0,BS!F10/(-IS!F8*4)*365)</f>
        <v>59.453619064045078</v>
      </c>
      <c r="H46" s="251">
        <f>IF(IS!G8=0,0,BS!G10/(-IS!G8*4)*365)</f>
        <v>105.91795965865012</v>
      </c>
      <c r="I46" s="251">
        <f>IF(IS!H8=0,0,BS!H10/(-IS!H8*4)*365)</f>
        <v>119.10602361944977</v>
      </c>
      <c r="J46" s="251">
        <f>IF(IS!I8=0,0,BS!I10/(-IS!I8*4)*365)</f>
        <v>114.65444111776448</v>
      </c>
      <c r="K46" s="251">
        <f>IF(IS!J8=0,0,BS!J10/(-IS!J8*4)*365)</f>
        <v>115.06385032750023</v>
      </c>
      <c r="L46" s="251">
        <f>IF(IS!K8=0,0,BS!K10/(-IS!K8*4)*365)</f>
        <v>119.65691058598779</v>
      </c>
      <c r="M46" s="252">
        <v>120</v>
      </c>
      <c r="N46" s="252">
        <v>120</v>
      </c>
      <c r="O46" s="252">
        <v>120</v>
      </c>
      <c r="P46" s="252">
        <v>120</v>
      </c>
      <c r="Q46" s="252">
        <v>120</v>
      </c>
      <c r="R46" s="252">
        <v>120</v>
      </c>
      <c r="S46" s="252">
        <v>115</v>
      </c>
      <c r="T46" s="252">
        <v>115</v>
      </c>
      <c r="U46" s="252">
        <v>115</v>
      </c>
      <c r="V46" s="252">
        <v>115</v>
      </c>
      <c r="X46" s="251">
        <f>IF(IS!W8=0,0,BS!W10/-IS!W8*365)</f>
        <v>112.72749555732582</v>
      </c>
      <c r="Y46" s="251">
        <f>IF(IS!X8=0,0,BS!X10/-IS!X8*365)</f>
        <v>125.043537414966</v>
      </c>
      <c r="Z46" s="251">
        <f>IF(IS!Y8=0,0,BS!Y10/-IS!Y8*365)</f>
        <v>152.40149054015487</v>
      </c>
      <c r="AA46" s="251">
        <f>IF(IS!Z8=0,0,BS!Z10/-IS!Z8*365)</f>
        <v>136.82285078689304</v>
      </c>
      <c r="AB46" s="251">
        <f>IF(IS!AA8=0,0,BS!AA10/-IS!AA8*365)</f>
        <v>121.77607072868787</v>
      </c>
      <c r="AD46" s="58" t="s">
        <v>753</v>
      </c>
    </row>
    <row r="47" spans="1:30" ht="15" customHeight="1" x14ac:dyDescent="0.15">
      <c r="A47" s="57" t="s">
        <v>754</v>
      </c>
      <c r="B47" s="58" t="s">
        <v>750</v>
      </c>
      <c r="C47" s="251">
        <f>IF(IS!B8=0,0,BS!B21/(-IS!B8*4)*365)</f>
        <v>43.941778999645265</v>
      </c>
      <c r="D47" s="251">
        <f>IF(IS!C8=0,0,BS!C21/(-IS!C8*4)*365)</f>
        <v>44.977230109831233</v>
      </c>
      <c r="E47" s="251">
        <f>IF(IS!D8=0,0,BS!D21/(-IS!D8*4)*365)</f>
        <v>54.723420345059381</v>
      </c>
      <c r="F47" s="251">
        <f>IF(IS!E8=0,0,BS!E21/(-IS!E8*4)*365)</f>
        <v>54.278610482654599</v>
      </c>
      <c r="G47" s="251">
        <f>IF(IS!F8=0,0,BS!F21/(-IS!F8*4)*365)</f>
        <v>38.458879498677703</v>
      </c>
      <c r="H47" s="251">
        <f>IF(IS!G8=0,0,BS!G21/(-IS!G8*4)*365)</f>
        <v>64.165244375484875</v>
      </c>
      <c r="I47" s="251">
        <f>IF(IS!H8=0,0,BS!H21/(-IS!H8*4)*365)</f>
        <v>51.919245233225574</v>
      </c>
      <c r="J47" s="251">
        <f>IF(IS!I8=0,0,BS!I21/(-IS!I8*4)*365)</f>
        <v>52.562228484208049</v>
      </c>
      <c r="K47" s="251">
        <f>IF(IS!J8=0,0,BS!J21/(-IS!J8*4)*365)</f>
        <v>58.417306188288208</v>
      </c>
      <c r="L47" s="251">
        <f>IF(IS!K8=0,0,BS!K21/(-IS!K8*4)*365)</f>
        <v>57.067724988579258</v>
      </c>
      <c r="M47" s="253">
        <v>55</v>
      </c>
      <c r="N47" s="253">
        <v>55</v>
      </c>
      <c r="O47" s="253">
        <v>55</v>
      </c>
      <c r="P47" s="253">
        <v>55</v>
      </c>
      <c r="Q47" s="253">
        <v>55</v>
      </c>
      <c r="R47" s="253">
        <v>55</v>
      </c>
      <c r="S47" s="253">
        <v>55</v>
      </c>
      <c r="T47" s="253">
        <v>55</v>
      </c>
      <c r="U47" s="253">
        <v>55</v>
      </c>
      <c r="V47" s="253">
        <v>55</v>
      </c>
      <c r="X47" s="251">
        <f>IF(IS!W8=0,0,BS!W21/-IS!W8*365)</f>
        <v>70.566517556222806</v>
      </c>
      <c r="Y47" s="251">
        <f>IF(IS!X8=0,0,BS!X21/-IS!X8*365)</f>
        <v>57.325010004001605</v>
      </c>
      <c r="Z47" s="251">
        <f>IF(IS!Y8=0,0,BS!Y21/-IS!Y8*365)</f>
        <v>69.850683164237665</v>
      </c>
      <c r="AA47" s="251">
        <f>IF(IS!Z8=0,0,BS!Z21/-IS!Z8*365)</f>
        <v>62.710473277325974</v>
      </c>
      <c r="AB47" s="251">
        <f>IF(IS!AA8=0,0,BS!AA21/-IS!AA8*365)</f>
        <v>58.240729478937681</v>
      </c>
      <c r="AD47" s="58" t="s">
        <v>755</v>
      </c>
    </row>
    <row r="48" spans="1:30" ht="15" customHeight="1" x14ac:dyDescent="0.15">
      <c r="A48" s="57" t="s">
        <v>756</v>
      </c>
      <c r="B48" s="58" t="s">
        <v>690</v>
      </c>
      <c r="C48" s="76">
        <f>IF(IS!B7=0,0,BS!B11/IS!B7)</f>
        <v>0.15596682537244663</v>
      </c>
      <c r="D48" s="76">
        <f>IF(IS!C7=0,0,BS!C11/IS!C7)</f>
        <v>0.13402130492676431</v>
      </c>
      <c r="E48" s="76">
        <f>IF(IS!D7=0,0,BS!D11/IS!D7)</f>
        <v>0.10848868365543583</v>
      </c>
      <c r="F48" s="76">
        <f>IF(IS!E7=0,0,BS!E11/IS!E7)</f>
        <v>9.5878569067656558E-2</v>
      </c>
      <c r="G48" s="76">
        <f>IF(IS!F7=0,0,BS!F11/IS!F7)</f>
        <v>6.3070219236530348E-2</v>
      </c>
      <c r="H48" s="76">
        <f>IF(IS!G7=0,0,BS!G11/IS!G7)</f>
        <v>5.6864129388357616E-2</v>
      </c>
      <c r="I48" s="76">
        <f>IF(IS!H7=0,0,BS!H11/IS!H7)</f>
        <v>4.752131354594253E-2</v>
      </c>
      <c r="J48" s="76">
        <f>IF(IS!I7=0,0,BS!I11/IS!I7)</f>
        <v>4.6677528733101416E-2</v>
      </c>
      <c r="K48" s="76">
        <f>IF(IS!J7=0,0,BS!J11/IS!J7)</f>
        <v>4.7981375972554065E-2</v>
      </c>
      <c r="L48" s="76">
        <f>IF(IS!K7=0,0,BS!K11/IS!K7)</f>
        <v>3.5428856486629738E-2</v>
      </c>
      <c r="M48" s="233">
        <v>3.5000000000000003E-2</v>
      </c>
      <c r="N48" s="233">
        <v>3.5000000000000003E-2</v>
      </c>
      <c r="O48" s="233">
        <v>3.5000000000000003E-2</v>
      </c>
      <c r="P48" s="233">
        <v>3.5000000000000003E-2</v>
      </c>
      <c r="Q48" s="233">
        <v>3.5000000000000003E-2</v>
      </c>
      <c r="R48" s="233">
        <v>3.5000000000000003E-2</v>
      </c>
      <c r="S48" s="233">
        <v>3.5000000000000003E-2</v>
      </c>
      <c r="T48" s="233">
        <v>3.5000000000000003E-2</v>
      </c>
      <c r="U48" s="233">
        <v>3.5000000000000003E-2</v>
      </c>
      <c r="V48" s="233">
        <v>3.5000000000000003E-2</v>
      </c>
      <c r="X48" s="76">
        <f>IF(IS!W7=0,0,BS!W11/IS!W7)</f>
        <v>2.8897216027954666E-2</v>
      </c>
      <c r="Y48" s="76">
        <f>IF(IS!X7=0,0,BS!X11/IS!X7)</f>
        <v>1.4726449258583482E-2</v>
      </c>
      <c r="Z48" s="76">
        <f>IF(IS!Y7=0,0,BS!Y11/IS!Y7)</f>
        <v>1.0260564812221425E-2</v>
      </c>
      <c r="AA48" s="76">
        <f>IF(IS!Z7=0,0,BS!Z11/IS!Z7)</f>
        <v>1.0108884176476847E-2</v>
      </c>
      <c r="AB48" s="76">
        <f>IF(IS!AA7=0,0,BS!AA11/IS!AA7)</f>
        <v>9.2655705989219024E-3</v>
      </c>
      <c r="AD48" s="58" t="s">
        <v>757</v>
      </c>
    </row>
    <row r="49" spans="1:30" ht="15" customHeight="1" x14ac:dyDescent="0.15">
      <c r="A49" s="57" t="s">
        <v>758</v>
      </c>
      <c r="B49" s="58" t="s">
        <v>690</v>
      </c>
      <c r="C49" s="76">
        <f>IF(IS!B7=0,0,BS!B22/IS!B7)</f>
        <v>0.43226846874520042</v>
      </c>
      <c r="D49" s="76">
        <f>IF(IS!C7=0,0,BS!C22/IS!C7)</f>
        <v>0.34250998668442079</v>
      </c>
      <c r="E49" s="76">
        <f>IF(IS!D7=0,0,BS!D22/IS!D7)</f>
        <v>0.31714269425916425</v>
      </c>
      <c r="F49" s="76">
        <f>IF(IS!E7=0,0,BS!E22/IS!E7)</f>
        <v>0.29841600772927207</v>
      </c>
      <c r="G49" s="76">
        <f>IF(IS!F7=0,0,BS!F22/IS!F7)</f>
        <v>0.43599927375062414</v>
      </c>
      <c r="H49" s="76">
        <f>IF(IS!G7=0,0,BS!G22/IS!G7)</f>
        <v>0.32503262520591319</v>
      </c>
      <c r="I49" s="76">
        <f>IF(IS!H7=0,0,BS!H22/IS!H7)</f>
        <v>0.28860119987369748</v>
      </c>
      <c r="J49" s="76">
        <f>IF(IS!I7=0,0,BS!I22/IS!I7)</f>
        <v>0.31341465204691238</v>
      </c>
      <c r="K49" s="76">
        <f>IF(IS!J7=0,0,BS!J22/IS!J7)</f>
        <v>0.36496967469215219</v>
      </c>
      <c r="L49" s="76">
        <f>IF(IS!K7=0,0,BS!K22/IS!K7)</f>
        <v>0.28018831647977055</v>
      </c>
      <c r="M49" s="233">
        <v>0.28000000000000003</v>
      </c>
      <c r="N49" s="233">
        <v>0.28000000000000003</v>
      </c>
      <c r="O49" s="233">
        <v>0.28000000000000003</v>
      </c>
      <c r="P49" s="233">
        <v>0.28000000000000003</v>
      </c>
      <c r="Q49" s="233">
        <v>0.28000000000000003</v>
      </c>
      <c r="R49" s="233">
        <v>0.28000000000000003</v>
      </c>
      <c r="S49" s="233">
        <v>0.28000000000000003</v>
      </c>
      <c r="T49" s="233">
        <v>0.28000000000000003</v>
      </c>
      <c r="U49" s="233">
        <v>0.28000000000000003</v>
      </c>
      <c r="V49" s="233">
        <v>0.28000000000000003</v>
      </c>
      <c r="X49" s="76">
        <f>IF(IS!W7=0,0,BS!W22/IS!W7)</f>
        <v>8.9940764921798963E-2</v>
      </c>
      <c r="Y49" s="76">
        <f>IF(IS!X7=0,0,BS!X22/IS!X7)</f>
        <v>9.888023414128129E-2</v>
      </c>
      <c r="Z49" s="76">
        <f>IF(IS!Y7=0,0,BS!Y22/IS!Y7)</f>
        <v>8.2084518497771403E-2</v>
      </c>
      <c r="AA49" s="76">
        <f>IF(IS!Z7=0,0,BS!Z22/IS!Z7)</f>
        <v>8.0871073411814778E-2</v>
      </c>
      <c r="AB49" s="76">
        <f>IF(IS!AA7=0,0,BS!AA22/IS!AA7)</f>
        <v>7.4124564791375219E-2</v>
      </c>
      <c r="AD49" s="58" t="s">
        <v>759</v>
      </c>
    </row>
    <row r="50" spans="1:30" ht="15" customHeight="1" x14ac:dyDescent="0.15">
      <c r="A50" s="57"/>
      <c r="B50" s="58"/>
      <c r="C50" s="76"/>
      <c r="D50" s="76"/>
      <c r="E50" s="76"/>
      <c r="F50" s="76"/>
      <c r="G50" s="76"/>
      <c r="H50" s="76"/>
      <c r="I50" s="76"/>
      <c r="J50" s="76"/>
      <c r="K50" s="76"/>
      <c r="L50" s="76"/>
      <c r="M50" s="233"/>
      <c r="N50" s="233"/>
      <c r="O50" s="233"/>
      <c r="P50" s="233"/>
      <c r="Q50" s="233"/>
      <c r="R50" s="233"/>
      <c r="S50" s="233"/>
      <c r="T50" s="233"/>
      <c r="U50" s="233"/>
      <c r="V50" s="233"/>
      <c r="X50" s="76"/>
      <c r="Y50" s="76"/>
      <c r="Z50" s="76"/>
      <c r="AA50" s="76"/>
      <c r="AB50" s="76"/>
      <c r="AD50" s="58"/>
    </row>
    <row r="51" spans="1:30" ht="15" customHeight="1" x14ac:dyDescent="0.15">
      <c r="A51" s="56" t="s">
        <v>760</v>
      </c>
    </row>
    <row r="52" spans="1:30" ht="15" customHeight="1" x14ac:dyDescent="0.15">
      <c r="A52" s="57" t="s">
        <v>231</v>
      </c>
      <c r="B52" s="58" t="s">
        <v>690</v>
      </c>
      <c r="C52" s="76">
        <f>IF(IS!B7=0,0,Raw_Data!B58/IS!B7)</f>
        <v>1.4168330517585623E-2</v>
      </c>
      <c r="D52" s="76">
        <f>IF(IS!C7=0,0,Raw_Data!C58/IS!C7)</f>
        <v>3.2523302263648468E-2</v>
      </c>
      <c r="E52" s="76">
        <f>IF(IS!D7=0,0,Raw_Data!D58/IS!D7)</f>
        <v>2.3174277407217378E-2</v>
      </c>
      <c r="F52" s="76">
        <f>IF(IS!E7=0,0,Raw_Data!E58/IS!E7)</f>
        <v>2.7382980346291729E-2</v>
      </c>
      <c r="G52" s="76">
        <f>IF(IS!F7=0,0,Raw_Data!F58/IS!F7)</f>
        <v>2.7847124506377378E-2</v>
      </c>
      <c r="H52" s="76">
        <f>IF(IS!G7=0,0,Raw_Data!G58/IS!G7)</f>
        <v>4.0540829642941187E-2</v>
      </c>
      <c r="I52" s="76">
        <f>IF(IS!H7=0,0,Raw_Data!H58/IS!H7)</f>
        <v>2.8698733466652634E-2</v>
      </c>
      <c r="J52" s="76">
        <f>IF(IS!I7=0,0,Raw_Data!I58/IS!I7)</f>
        <v>1.8847153111101324E-2</v>
      </c>
      <c r="K52" s="76">
        <f>IF(IS!J7=0,0,Raw_Data!J58/IS!J7)</f>
        <v>2.1527905409544815E-2</v>
      </c>
      <c r="L52" s="76">
        <f>IF(IS!K7=0,0,Raw_Data!K58/IS!K7)</f>
        <v>2.7821369555502438E-2</v>
      </c>
      <c r="M52" s="233">
        <v>0.03</v>
      </c>
      <c r="N52" s="233">
        <v>0.03</v>
      </c>
      <c r="O52" s="233">
        <v>0.03</v>
      </c>
      <c r="P52" s="233">
        <v>0.03</v>
      </c>
      <c r="Q52" s="233">
        <v>0.03</v>
      </c>
      <c r="R52" s="233">
        <v>0.03</v>
      </c>
      <c r="S52" s="233">
        <v>0.03</v>
      </c>
      <c r="T52" s="233">
        <v>0.03</v>
      </c>
      <c r="U52" s="233">
        <v>0.03</v>
      </c>
      <c r="V52" s="233">
        <v>0.03</v>
      </c>
      <c r="X52" s="76">
        <f>IF(IS!W7=0,0,-CF!W17/IS!W7)</f>
        <v>2.4797504923484832E-2</v>
      </c>
      <c r="Y52" s="76">
        <f>IF(IS!X7=0,0,-CF!X17/IS!X7)</f>
        <v>2.7980253591308617E-2</v>
      </c>
      <c r="Z52" s="76">
        <f>IF(IS!Y7=0,0,-CF!Y17/IS!Y7)</f>
        <v>2.8030252769479493E-2</v>
      </c>
      <c r="AA52" s="76">
        <f>IF(IS!Z7=0,0,-CF!Z17/IS!Z7)</f>
        <v>3.0289278184821158E-2</v>
      </c>
      <c r="AB52" s="76">
        <f>IF(IS!AA7=0,0,-CF!AA17/IS!AA7)</f>
        <v>3.0216803407376182E-2</v>
      </c>
      <c r="AD52" s="58" t="s">
        <v>761</v>
      </c>
    </row>
    <row r="53" spans="1:30" ht="15" customHeight="1" x14ac:dyDescent="0.15">
      <c r="A53" s="57" t="s">
        <v>762</v>
      </c>
      <c r="B53" s="58" t="s">
        <v>690</v>
      </c>
      <c r="D53" s="76">
        <f>IF(BS!B13=0,0,Raw_Data!C55/BS!B13)</f>
        <v>0.10808786819770344</v>
      </c>
      <c r="E53" s="76">
        <f>IF(BS!C13=0,0,Raw_Data!D55/BS!C13)</f>
        <v>9.7850562947799383E-2</v>
      </c>
      <c r="F53" s="76">
        <f>IF(BS!D13=0,0,Raw_Data!E55/BS!D13)</f>
        <v>0.10162829870859068</v>
      </c>
      <c r="G53" s="76">
        <f>IF(BS!E13=0,0,Raw_Data!F55/BS!E13)</f>
        <v>9.724653827789273E-2</v>
      </c>
      <c r="H53" s="76">
        <f>IF(BS!F13=0,0,Raw_Data!G55/BS!F13)</f>
        <v>9.375E-2</v>
      </c>
      <c r="I53" s="76">
        <f>IF(BS!G13=0,0,Raw_Data!H55/BS!G13)</f>
        <v>8.2157313204244617E-2</v>
      </c>
      <c r="J53" s="76">
        <f>IF(BS!H13=0,0,Raw_Data!I55/BS!H13)</f>
        <v>8.3026584867075662E-2</v>
      </c>
      <c r="K53" s="76">
        <f>IF(BS!I13=0,0,Raw_Data!J55/BS!I13)</f>
        <v>9.6022344216507752E-2</v>
      </c>
      <c r="L53" s="76">
        <f>IF(BS!J13=0,0,Raw_Data!K55/BS!J13)</f>
        <v>9.0865113279045395E-2</v>
      </c>
      <c r="M53" s="233">
        <v>0.09</v>
      </c>
      <c r="N53" s="233">
        <v>0.09</v>
      </c>
      <c r="O53" s="233">
        <v>0.09</v>
      </c>
      <c r="P53" s="233">
        <v>0.09</v>
      </c>
      <c r="Q53" s="233">
        <v>0.09</v>
      </c>
      <c r="R53" s="233">
        <v>0.09</v>
      </c>
      <c r="S53" s="233">
        <v>0.09</v>
      </c>
      <c r="T53" s="233">
        <v>0.09</v>
      </c>
      <c r="U53" s="233">
        <v>0.09</v>
      </c>
      <c r="V53" s="233">
        <v>0.09</v>
      </c>
      <c r="Y53" s="76">
        <f>IF(BS!W13=0,0,CF!X8/BS!W13)</f>
        <v>0.45249084832086583</v>
      </c>
      <c r="Z53" s="76">
        <f>IF(BS!X13=0,0,CF!Y8/BS!X13)</f>
        <v>0.47061481699409408</v>
      </c>
      <c r="AA53" s="76">
        <f>IF(BS!Y13=0,0,CF!Z8/BS!Y13)</f>
        <v>0.4467023896412663</v>
      </c>
      <c r="AB53" s="76">
        <f>IF(BS!Z13=0,0,CF!AA8/BS!Z13)</f>
        <v>0.42396446365043738</v>
      </c>
      <c r="AD53" s="58" t="s">
        <v>763</v>
      </c>
    </row>
    <row r="54" spans="1:30" ht="15" customHeight="1" x14ac:dyDescent="0.15">
      <c r="A54" s="57" t="s">
        <v>764</v>
      </c>
      <c r="B54" s="58" t="s">
        <v>154</v>
      </c>
      <c r="M54" s="246">
        <v>50</v>
      </c>
      <c r="N54" s="246">
        <v>50</v>
      </c>
      <c r="O54" s="246">
        <v>50</v>
      </c>
      <c r="P54" s="246">
        <v>50</v>
      </c>
      <c r="Q54" s="246">
        <v>50</v>
      </c>
      <c r="R54" s="246">
        <v>50</v>
      </c>
      <c r="S54" s="246">
        <v>50</v>
      </c>
      <c r="T54" s="246">
        <v>50</v>
      </c>
      <c r="U54" s="246">
        <v>50</v>
      </c>
      <c r="V54" s="246">
        <v>50</v>
      </c>
      <c r="Z54" s="77">
        <f t="shared" ref="Z54:Z60" si="7">SUM(K54:N54)</f>
        <v>100</v>
      </c>
      <c r="AA54" s="77">
        <f t="shared" ref="AA54:AA60" si="8">SUM(O54:R54)</f>
        <v>200</v>
      </c>
      <c r="AB54" s="77">
        <f t="shared" ref="AB54:AB60" si="9">SUM(S54:V54)</f>
        <v>200</v>
      </c>
      <c r="AD54" s="58" t="s">
        <v>765</v>
      </c>
    </row>
    <row r="55" spans="1:30" ht="15" customHeight="1" x14ac:dyDescent="0.15">
      <c r="A55" s="57" t="s">
        <v>766</v>
      </c>
      <c r="B55" s="58" t="s">
        <v>154</v>
      </c>
      <c r="M55" s="246">
        <v>120</v>
      </c>
      <c r="N55" s="246">
        <v>120</v>
      </c>
      <c r="O55" s="246">
        <v>120</v>
      </c>
      <c r="P55" s="246">
        <v>120</v>
      </c>
      <c r="Q55" s="246">
        <v>120</v>
      </c>
      <c r="R55" s="246">
        <v>120</v>
      </c>
      <c r="S55" s="246">
        <v>120</v>
      </c>
      <c r="T55" s="246">
        <v>120</v>
      </c>
      <c r="U55" s="246">
        <v>120</v>
      </c>
      <c r="V55" s="246">
        <v>120</v>
      </c>
      <c r="Z55" s="77">
        <f t="shared" si="7"/>
        <v>240</v>
      </c>
      <c r="AA55" s="77">
        <f t="shared" si="8"/>
        <v>480</v>
      </c>
      <c r="AB55" s="77">
        <f t="shared" si="9"/>
        <v>480</v>
      </c>
      <c r="AD55" s="58" t="s">
        <v>767</v>
      </c>
    </row>
    <row r="56" spans="1:30" ht="15" customHeight="1" x14ac:dyDescent="0.15">
      <c r="A56" s="57" t="s">
        <v>768</v>
      </c>
      <c r="B56" s="58" t="s">
        <v>154</v>
      </c>
      <c r="C56" s="77">
        <f>-(Raw_Data!B59+Raw_Data!B58)</f>
        <v>5324</v>
      </c>
      <c r="D56" s="77">
        <f>-(Raw_Data!C59+Raw_Data!C58)</f>
        <v>2207</v>
      </c>
      <c r="E56" s="77">
        <f>-(Raw_Data!D59+Raw_Data!D58)</f>
        <v>3533</v>
      </c>
      <c r="F56" s="77">
        <f>-(Raw_Data!E59+Raw_Data!E58)</f>
        <v>6121</v>
      </c>
      <c r="G56" s="77">
        <f>-(Raw_Data!F59+Raw_Data!F58)</f>
        <v>3989</v>
      </c>
      <c r="H56" s="77">
        <f>-(Raw_Data!G59+Raw_Data!G58)</f>
        <v>5232</v>
      </c>
      <c r="I56" s="77">
        <f>-(Raw_Data!H59+Raw_Data!H58)</f>
        <v>7388</v>
      </c>
      <c r="J56" s="77">
        <f>-(Raw_Data!I59+Raw_Data!I58)</f>
        <v>29577</v>
      </c>
      <c r="K56" s="77">
        <f>-(Raw_Data!J59+Raw_Data!J58)</f>
        <v>24672</v>
      </c>
      <c r="L56" s="77">
        <f>-(Raw_Data!K59+Raw_Data!K58)</f>
        <v>6018</v>
      </c>
      <c r="M56" s="246">
        <v>6000</v>
      </c>
      <c r="N56" s="246">
        <v>6000</v>
      </c>
      <c r="O56" s="246">
        <v>6000</v>
      </c>
      <c r="P56" s="246">
        <v>6000</v>
      </c>
      <c r="Q56" s="246">
        <v>6000</v>
      </c>
      <c r="R56" s="246">
        <v>6000</v>
      </c>
      <c r="S56" s="246">
        <v>6000</v>
      </c>
      <c r="T56" s="246">
        <v>6000</v>
      </c>
      <c r="U56" s="246">
        <v>6000</v>
      </c>
      <c r="V56" s="246">
        <v>6000</v>
      </c>
      <c r="X56" s="77">
        <f>SUM(C56:F56)</f>
        <v>17185</v>
      </c>
      <c r="Y56" s="77">
        <f>SUM(G56:J56)</f>
        <v>46186</v>
      </c>
      <c r="Z56" s="77">
        <f t="shared" si="7"/>
        <v>42690</v>
      </c>
      <c r="AA56" s="77">
        <f t="shared" si="8"/>
        <v>24000</v>
      </c>
      <c r="AB56" s="77">
        <f t="shared" si="9"/>
        <v>24000</v>
      </c>
      <c r="AD56" s="58" t="s">
        <v>769</v>
      </c>
    </row>
    <row r="57" spans="1:30" ht="15" customHeight="1" x14ac:dyDescent="0.15">
      <c r="A57" s="57" t="s">
        <v>770</v>
      </c>
      <c r="B57" s="58" t="s">
        <v>154</v>
      </c>
      <c r="C57" s="245">
        <f>Raw_Data!B62</f>
        <v>98</v>
      </c>
      <c r="D57" s="245">
        <f>Raw_Data!C62</f>
        <v>246</v>
      </c>
      <c r="E57" s="245">
        <f>Raw_Data!D62</f>
        <v>245</v>
      </c>
      <c r="F57" s="245">
        <f>Raw_Data!E62</f>
        <v>245</v>
      </c>
      <c r="G57" s="245">
        <f>Raw_Data!F62</f>
        <v>244</v>
      </c>
      <c r="H57" s="245">
        <f>Raw_Data!G62</f>
        <v>244</v>
      </c>
      <c r="I57" s="245">
        <f>Raw_Data!H62</f>
        <v>244</v>
      </c>
      <c r="J57" s="245">
        <f>Raw_Data!I62</f>
        <v>242</v>
      </c>
      <c r="K57" s="245">
        <f>Raw_Data!J62</f>
        <v>243</v>
      </c>
      <c r="L57" s="245">
        <f>Raw_Data!K62</f>
        <v>6047</v>
      </c>
      <c r="M57" s="246">
        <v>6000</v>
      </c>
      <c r="N57" s="246">
        <v>6000</v>
      </c>
      <c r="O57" s="246">
        <v>6000</v>
      </c>
      <c r="P57" s="246">
        <v>6000</v>
      </c>
      <c r="Q57" s="246">
        <v>6000</v>
      </c>
      <c r="R57" s="246">
        <v>6000</v>
      </c>
      <c r="S57" s="246">
        <v>6000</v>
      </c>
      <c r="T57" s="246">
        <v>6000</v>
      </c>
      <c r="U57" s="246">
        <v>6000</v>
      </c>
      <c r="V57" s="246">
        <v>6000</v>
      </c>
      <c r="X57" s="77">
        <f>SUM(C57:F57)</f>
        <v>834</v>
      </c>
      <c r="Y57" s="77">
        <f>SUM(G57:J57)</f>
        <v>974</v>
      </c>
      <c r="Z57" s="77">
        <f t="shared" si="7"/>
        <v>18290</v>
      </c>
      <c r="AA57" s="77">
        <f t="shared" si="8"/>
        <v>24000</v>
      </c>
      <c r="AB57" s="77">
        <f t="shared" si="9"/>
        <v>24000</v>
      </c>
      <c r="AD57" s="58" t="s">
        <v>771</v>
      </c>
    </row>
    <row r="58" spans="1:30" ht="15" customHeight="1" x14ac:dyDescent="0.15">
      <c r="A58" s="57" t="s">
        <v>772</v>
      </c>
      <c r="B58" s="58" t="s">
        <v>154</v>
      </c>
      <c r="C58" s="245">
        <f>Raw_Data!B60</f>
        <v>7740</v>
      </c>
      <c r="D58" s="245">
        <f>Raw_Data!C60</f>
        <v>7158</v>
      </c>
      <c r="E58" s="245">
        <f>Raw_Data!D60</f>
        <v>10997</v>
      </c>
      <c r="F58" s="245">
        <f>Raw_Data!E60</f>
        <v>7811</v>
      </c>
      <c r="G58" s="245">
        <f>Raw_Data!F60</f>
        <v>14095</v>
      </c>
      <c r="H58" s="245">
        <f>Raw_Data!G60</f>
        <v>9720</v>
      </c>
      <c r="I58" s="245">
        <f>Raw_Data!H60</f>
        <v>12456</v>
      </c>
      <c r="J58" s="245">
        <f>Raw_Data!I60</f>
        <v>3815</v>
      </c>
      <c r="K58" s="245">
        <f>Raw_Data!J60</f>
        <v>19312</v>
      </c>
      <c r="L58" s="245">
        <f>Raw_Data!K60</f>
        <v>19732</v>
      </c>
      <c r="M58" s="77">
        <f>MAX(0,M81*(CF!L16+CF!L17)-M57)</f>
        <v>18824.463618034064</v>
      </c>
      <c r="N58" s="77">
        <f>MAX(0,N81*(CF!M16+CF!M17)-N57)</f>
        <v>21431.993075853727</v>
      </c>
      <c r="O58" s="77">
        <f>MAX(0,O81*(CF!N16+CF!N17)-O57)</f>
        <v>25046.712874346369</v>
      </c>
      <c r="P58" s="77">
        <f>MAX(0,P81*(CF!O16+CF!O17)-P57)</f>
        <v>32211.63905208838</v>
      </c>
      <c r="Q58" s="77">
        <f>MAX(0,Q81*(CF!P16+CF!P17)-Q57)</f>
        <v>38297.082472171569</v>
      </c>
      <c r="R58" s="77">
        <f>MAX(0,R81*(CF!Q16+CF!Q17)-R57)</f>
        <v>43778.418617875723</v>
      </c>
      <c r="S58" s="77">
        <f>MAX(0,S81*(CF!R16+CF!R17)-S57)</f>
        <v>49999.139512152833</v>
      </c>
      <c r="T58" s="77">
        <f>MAX(0,T81*(CF!S16+CF!S17)-T57)</f>
        <v>53082.737466618935</v>
      </c>
      <c r="U58" s="77">
        <f>MAX(0,U81*(CF!T16+CF!T17)-U57)</f>
        <v>56565.442539822885</v>
      </c>
      <c r="V58" s="77">
        <f>MAX(0,V81*(CF!U16+CF!U17)-V57)</f>
        <v>59463.12336937592</v>
      </c>
      <c r="X58" s="77">
        <f>SUM(C58:F58)</f>
        <v>33706</v>
      </c>
      <c r="Y58" s="77">
        <f>SUM(G58:J58)</f>
        <v>40086</v>
      </c>
      <c r="Z58" s="77">
        <f t="shared" si="7"/>
        <v>79300.456693887783</v>
      </c>
      <c r="AA58" s="77">
        <f t="shared" si="8"/>
        <v>139333.85301648203</v>
      </c>
      <c r="AB58" s="77">
        <f t="shared" si="9"/>
        <v>219110.44288797057</v>
      </c>
      <c r="AD58" s="58" t="s">
        <v>773</v>
      </c>
    </row>
    <row r="59" spans="1:30" ht="15" customHeight="1" x14ac:dyDescent="0.15">
      <c r="A59" s="57" t="s">
        <v>774</v>
      </c>
      <c r="B59" s="58" t="s">
        <v>154</v>
      </c>
      <c r="C59" s="245">
        <f>Raw_Data!B61</f>
        <v>1752</v>
      </c>
      <c r="D59" s="245">
        <f>Raw_Data!C61</f>
        <v>1637</v>
      </c>
      <c r="E59" s="245">
        <f>Raw_Data!D61</f>
        <v>1679</v>
      </c>
      <c r="F59" s="245">
        <f>Raw_Data!E61</f>
        <v>1862</v>
      </c>
      <c r="G59" s="245">
        <f>Raw_Data!F61</f>
        <v>1532</v>
      </c>
      <c r="H59" s="245">
        <f>Raw_Data!G61</f>
        <v>1848</v>
      </c>
      <c r="I59" s="245">
        <f>Raw_Data!H61</f>
        <v>2429</v>
      </c>
      <c r="J59" s="245">
        <f>Raw_Data!I61</f>
        <v>2139</v>
      </c>
      <c r="K59" s="245">
        <f>Raw_Data!J61</f>
        <v>2129</v>
      </c>
      <c r="L59" s="245">
        <f>Raw_Data!K61</f>
        <v>2402</v>
      </c>
      <c r="M59" s="246">
        <v>2300</v>
      </c>
      <c r="N59" s="246">
        <v>2300</v>
      </c>
      <c r="O59" s="246">
        <v>2300</v>
      </c>
      <c r="P59" s="246">
        <v>2300</v>
      </c>
      <c r="Q59" s="246">
        <v>2300</v>
      </c>
      <c r="R59" s="246">
        <v>2300</v>
      </c>
      <c r="S59" s="246">
        <v>2300</v>
      </c>
      <c r="T59" s="246">
        <v>2300</v>
      </c>
      <c r="U59" s="246">
        <v>2300</v>
      </c>
      <c r="V59" s="246">
        <v>2300</v>
      </c>
      <c r="X59" s="77">
        <f>SUM(C59:F59)</f>
        <v>6930</v>
      </c>
      <c r="Y59" s="77">
        <f>SUM(G59:J59)</f>
        <v>7948</v>
      </c>
      <c r="Z59" s="77">
        <f t="shared" si="7"/>
        <v>9131</v>
      </c>
      <c r="AA59" s="77">
        <f t="shared" si="8"/>
        <v>9200</v>
      </c>
      <c r="AB59" s="77">
        <f t="shared" si="9"/>
        <v>9200</v>
      </c>
      <c r="AD59" s="58" t="s">
        <v>775</v>
      </c>
    </row>
    <row r="60" spans="1:30" ht="15" customHeight="1" x14ac:dyDescent="0.15">
      <c r="A60" s="57" t="s">
        <v>776</v>
      </c>
      <c r="B60" s="58" t="s">
        <v>154</v>
      </c>
      <c r="C60" s="77">
        <f>Raw_Data!B63+Raw_Data!B60+Raw_Data!B61+Raw_Data!B62</f>
        <v>245</v>
      </c>
      <c r="D60" s="77">
        <f>Raw_Data!C63+Raw_Data!C60+Raw_Data!C61+Raw_Data!C62</f>
        <v>-1279</v>
      </c>
      <c r="E60" s="77">
        <f>Raw_Data!D63+Raw_Data!D60+Raw_Data!D61+Raw_Data!D62</f>
        <v>176</v>
      </c>
      <c r="F60" s="77">
        <f>Raw_Data!E63+Raw_Data!E60+Raw_Data!E61+Raw_Data!E62</f>
        <v>-31</v>
      </c>
      <c r="G60" s="77">
        <f>Raw_Data!F63+Raw_Data!F60+Raw_Data!F61+Raw_Data!F62</f>
        <v>318</v>
      </c>
      <c r="H60" s="77">
        <f>Raw_Data!G63+Raw_Data!G60+Raw_Data!G61+Raw_Data!G62</f>
        <v>-21</v>
      </c>
      <c r="I60" s="77">
        <f>Raw_Data!H63+Raw_Data!H60+Raw_Data!H61+Raw_Data!H62</f>
        <v>249</v>
      </c>
      <c r="J60" s="77">
        <f>Raw_Data!I63+Raw_Data!I60+Raw_Data!I61+Raw_Data!I62</f>
        <v>-12</v>
      </c>
      <c r="K60" s="77">
        <f>Raw_Data!J63+Raw_Data!J60+Raw_Data!J61+Raw_Data!J62</f>
        <v>401</v>
      </c>
      <c r="L60" s="77">
        <f>Raw_Data!K63+Raw_Data!K60+Raw_Data!K61+Raw_Data!K62</f>
        <v>22005</v>
      </c>
      <c r="M60" s="246">
        <v>300</v>
      </c>
      <c r="N60" s="246">
        <v>300</v>
      </c>
      <c r="O60" s="246">
        <v>300</v>
      </c>
      <c r="P60" s="246">
        <v>300</v>
      </c>
      <c r="Q60" s="246">
        <v>300</v>
      </c>
      <c r="R60" s="246">
        <v>300</v>
      </c>
      <c r="S60" s="246">
        <v>300</v>
      </c>
      <c r="T60" s="246">
        <v>300</v>
      </c>
      <c r="U60" s="246">
        <v>300</v>
      </c>
      <c r="V60" s="246">
        <v>300</v>
      </c>
      <c r="X60" s="77">
        <f>SUM(C60:F60)</f>
        <v>-889</v>
      </c>
      <c r="Y60" s="77">
        <f>SUM(G60:J60)</f>
        <v>534</v>
      </c>
      <c r="Z60" s="77">
        <f t="shared" si="7"/>
        <v>23006</v>
      </c>
      <c r="AA60" s="77">
        <f t="shared" si="8"/>
        <v>1200</v>
      </c>
      <c r="AB60" s="77">
        <f t="shared" si="9"/>
        <v>1200</v>
      </c>
      <c r="AD60" s="58" t="s">
        <v>777</v>
      </c>
    </row>
    <row r="61" spans="1:30" ht="15" customHeight="1" x14ac:dyDescent="0.15">
      <c r="A61" s="57" t="s">
        <v>778</v>
      </c>
      <c r="B61" s="58" t="s">
        <v>154</v>
      </c>
      <c r="C61" s="245">
        <f>Raw_Data!B41</f>
        <v>1250</v>
      </c>
      <c r="D61" s="245">
        <f>Raw_Data!C41</f>
        <v>0</v>
      </c>
      <c r="E61" s="245">
        <f>Raw_Data!D41</f>
        <v>0</v>
      </c>
      <c r="F61" s="245">
        <f>Raw_Data!E41</f>
        <v>0</v>
      </c>
      <c r="G61" s="245">
        <f>Raw_Data!F41</f>
        <v>0</v>
      </c>
      <c r="H61" s="245">
        <f>Raw_Data!G41</f>
        <v>0</v>
      </c>
      <c r="I61" s="245">
        <f>Raw_Data!H41</f>
        <v>999</v>
      </c>
      <c r="J61" s="245">
        <f>Raw_Data!I41</f>
        <v>999</v>
      </c>
      <c r="K61" s="245">
        <f>Raw_Data!J41</f>
        <v>1000</v>
      </c>
      <c r="L61" s="245">
        <f>Raw_Data!K41</f>
        <v>1000</v>
      </c>
      <c r="M61" s="246">
        <v>1000</v>
      </c>
      <c r="N61" s="246">
        <v>1000</v>
      </c>
      <c r="O61" s="246">
        <v>1000</v>
      </c>
      <c r="P61" s="246">
        <v>1000</v>
      </c>
      <c r="Q61" s="246">
        <v>1000</v>
      </c>
      <c r="R61" s="246">
        <v>1000</v>
      </c>
      <c r="S61" s="246">
        <v>1000</v>
      </c>
      <c r="T61" s="246">
        <v>1000</v>
      </c>
      <c r="U61" s="246">
        <v>1000</v>
      </c>
      <c r="V61" s="246">
        <v>1000</v>
      </c>
      <c r="X61" s="77">
        <f>F61</f>
        <v>0</v>
      </c>
      <c r="Y61" s="77">
        <f>J61</f>
        <v>999</v>
      </c>
      <c r="Z61" s="77">
        <f>N61</f>
        <v>1000</v>
      </c>
      <c r="AA61" s="77">
        <f>R61</f>
        <v>1000</v>
      </c>
      <c r="AB61" s="77">
        <f>V61</f>
        <v>1000</v>
      </c>
      <c r="AD61" s="58" t="s">
        <v>779</v>
      </c>
    </row>
    <row r="62" spans="1:30" ht="15" customHeight="1" x14ac:dyDescent="0.15">
      <c r="A62" s="57" t="s">
        <v>780</v>
      </c>
      <c r="B62" s="58" t="s">
        <v>154</v>
      </c>
      <c r="M62" s="246">
        <v>0</v>
      </c>
      <c r="N62" s="246">
        <v>0</v>
      </c>
      <c r="O62" s="246">
        <v>0</v>
      </c>
      <c r="P62" s="246">
        <v>0</v>
      </c>
      <c r="Q62" s="246">
        <v>0</v>
      </c>
      <c r="R62" s="246">
        <v>0</v>
      </c>
      <c r="S62" s="246">
        <v>0</v>
      </c>
      <c r="T62" s="246">
        <v>0</v>
      </c>
      <c r="U62" s="246">
        <v>0</v>
      </c>
      <c r="V62" s="246">
        <v>0</v>
      </c>
      <c r="Z62" s="77">
        <f>SUM(K62:N62)</f>
        <v>0</v>
      </c>
      <c r="AA62" s="77">
        <f>SUM(O62:R62)</f>
        <v>0</v>
      </c>
      <c r="AB62" s="77">
        <f>SUM(S62:V62)</f>
        <v>0</v>
      </c>
      <c r="AD62" s="58" t="s">
        <v>781</v>
      </c>
    </row>
    <row r="63" spans="1:30" ht="15" customHeight="1" x14ac:dyDescent="0.15">
      <c r="A63" s="57" t="s">
        <v>782</v>
      </c>
      <c r="B63" s="58" t="s">
        <v>154</v>
      </c>
      <c r="M63" s="246">
        <v>0</v>
      </c>
      <c r="N63" s="246">
        <v>0</v>
      </c>
      <c r="O63" s="246">
        <v>0</v>
      </c>
      <c r="P63" s="246">
        <v>0</v>
      </c>
      <c r="Q63" s="246">
        <v>0</v>
      </c>
      <c r="R63" s="246">
        <v>0</v>
      </c>
      <c r="S63" s="246">
        <v>0</v>
      </c>
      <c r="T63" s="246">
        <v>0</v>
      </c>
      <c r="U63" s="246">
        <v>0</v>
      </c>
      <c r="V63" s="246">
        <v>0</v>
      </c>
      <c r="Z63" s="77">
        <f>SUM(K63:N63)</f>
        <v>0</v>
      </c>
      <c r="AA63" s="77">
        <f>SUM(O63:R63)</f>
        <v>0</v>
      </c>
      <c r="AB63" s="77">
        <f>SUM(S63:V63)</f>
        <v>0</v>
      </c>
      <c r="AD63" s="58" t="s">
        <v>783</v>
      </c>
    </row>
    <row r="64" spans="1:30" ht="15" customHeight="1" x14ac:dyDescent="0.15">
      <c r="A64" s="58" t="s">
        <v>784</v>
      </c>
    </row>
    <row r="66" spans="1:30" ht="15" customHeight="1" x14ac:dyDescent="0.15">
      <c r="A66" s="56" t="s">
        <v>785</v>
      </c>
    </row>
    <row r="67" spans="1:30" ht="15" customHeight="1" x14ac:dyDescent="0.15">
      <c r="A67" s="57" t="s">
        <v>786</v>
      </c>
      <c r="B67" s="58" t="s">
        <v>154</v>
      </c>
      <c r="C67" s="58"/>
      <c r="D67" s="58"/>
      <c r="E67" s="58"/>
      <c r="F67" s="58"/>
      <c r="G67" s="245">
        <f>Raw_Data!F112</f>
        <v>126</v>
      </c>
      <c r="H67" s="245">
        <f>Raw_Data!G112</f>
        <v>49</v>
      </c>
      <c r="I67" s="58"/>
      <c r="J67" s="245">
        <f>Raw_Data!I112</f>
        <v>47</v>
      </c>
      <c r="K67" s="245">
        <f>Raw_Data!J112</f>
        <v>75</v>
      </c>
      <c r="L67" s="245">
        <f>Raw_Data!K112</f>
        <v>46</v>
      </c>
      <c r="M67" s="246">
        <v>0</v>
      </c>
      <c r="N67" s="246">
        <v>0</v>
      </c>
      <c r="O67" s="246">
        <v>0</v>
      </c>
      <c r="P67" s="246">
        <v>0</v>
      </c>
      <c r="Q67" s="246">
        <v>0</v>
      </c>
      <c r="R67" s="246">
        <v>0</v>
      </c>
      <c r="S67" s="246">
        <v>0</v>
      </c>
      <c r="T67" s="246">
        <v>0</v>
      </c>
      <c r="U67" s="246">
        <v>0</v>
      </c>
      <c r="V67" s="246">
        <v>0</v>
      </c>
      <c r="X67" s="58"/>
      <c r="Y67" s="58"/>
      <c r="Z67" s="77">
        <f>SUM(K67:N67)</f>
        <v>121</v>
      </c>
      <c r="AA67" s="77">
        <f>SUM(O67:R67)</f>
        <v>0</v>
      </c>
      <c r="AB67" s="77">
        <f>SUM(S67:V67)</f>
        <v>0</v>
      </c>
      <c r="AD67" s="58" t="s">
        <v>787</v>
      </c>
    </row>
    <row r="68" spans="1:30" ht="15" customHeight="1" x14ac:dyDescent="0.15">
      <c r="A68" s="57" t="s">
        <v>788</v>
      </c>
      <c r="B68" s="58" t="s">
        <v>154</v>
      </c>
      <c r="C68" s="58"/>
      <c r="D68" s="58"/>
      <c r="E68" s="58"/>
      <c r="F68" s="58"/>
      <c r="G68" s="245">
        <f>Raw_Data!F113</f>
        <v>37</v>
      </c>
      <c r="H68" s="245">
        <f>Raw_Data!G113</f>
        <v>52</v>
      </c>
      <c r="I68" s="58"/>
      <c r="J68" s="245">
        <f>Raw_Data!I113</f>
        <v>128</v>
      </c>
      <c r="K68" s="245">
        <f>Raw_Data!J113</f>
        <v>172</v>
      </c>
      <c r="L68" s="245">
        <f>Raw_Data!K113</f>
        <v>176</v>
      </c>
      <c r="M68" s="246">
        <v>0</v>
      </c>
      <c r="N68" s="246">
        <v>0</v>
      </c>
      <c r="O68" s="246">
        <v>0</v>
      </c>
      <c r="P68" s="246">
        <v>0</v>
      </c>
      <c r="Q68" s="246">
        <v>0</v>
      </c>
      <c r="R68" s="246">
        <v>0</v>
      </c>
      <c r="S68" s="246">
        <v>0</v>
      </c>
      <c r="T68" s="246">
        <v>0</v>
      </c>
      <c r="U68" s="246">
        <v>0</v>
      </c>
      <c r="V68" s="246">
        <v>0</v>
      </c>
      <c r="X68" s="58"/>
      <c r="Y68" s="58"/>
      <c r="Z68" s="77">
        <f>SUM(K68:N68)</f>
        <v>348</v>
      </c>
      <c r="AA68" s="77">
        <f>SUM(O68:R68)</f>
        <v>0</v>
      </c>
      <c r="AB68" s="77">
        <f>SUM(S68:V68)</f>
        <v>0</v>
      </c>
      <c r="AD68" s="58" t="s">
        <v>789</v>
      </c>
    </row>
    <row r="69" spans="1:30" ht="15" customHeight="1" x14ac:dyDescent="0.15">
      <c r="A69" s="57" t="s">
        <v>790</v>
      </c>
      <c r="B69" s="58" t="s">
        <v>154</v>
      </c>
      <c r="C69" s="58"/>
      <c r="D69" s="58"/>
      <c r="E69" s="58"/>
      <c r="F69" s="58"/>
      <c r="G69" s="245">
        <f>Raw_Data!F114</f>
        <v>175</v>
      </c>
      <c r="H69" s="245">
        <f>Raw_Data!G114</f>
        <v>-2247</v>
      </c>
      <c r="I69" s="58"/>
      <c r="J69" s="245">
        <f>Raw_Data!I114</f>
        <v>-5491</v>
      </c>
      <c r="K69" s="245">
        <f>Raw_Data!J114</f>
        <v>-15936</v>
      </c>
      <c r="L69" s="245">
        <f>Raw_Data!K114</f>
        <v>-7771</v>
      </c>
      <c r="M69" s="246">
        <v>0</v>
      </c>
      <c r="N69" s="246">
        <v>0</v>
      </c>
      <c r="O69" s="246">
        <v>0</v>
      </c>
      <c r="P69" s="246">
        <v>0</v>
      </c>
      <c r="Q69" s="246">
        <v>0</v>
      </c>
      <c r="R69" s="246">
        <v>0</v>
      </c>
      <c r="S69" s="246">
        <v>0</v>
      </c>
      <c r="T69" s="246">
        <v>0</v>
      </c>
      <c r="U69" s="246">
        <v>0</v>
      </c>
      <c r="V69" s="246">
        <v>0</v>
      </c>
      <c r="X69" s="58"/>
      <c r="Y69" s="58"/>
      <c r="Z69" s="77">
        <f>SUM(K69:N69)</f>
        <v>-23707</v>
      </c>
      <c r="AA69" s="77">
        <f>SUM(O69:R69)</f>
        <v>0</v>
      </c>
      <c r="AB69" s="77">
        <f>SUM(S69:V69)</f>
        <v>0</v>
      </c>
      <c r="AD69" s="58" t="s">
        <v>791</v>
      </c>
    </row>
    <row r="70" spans="1:30" ht="15" customHeight="1" x14ac:dyDescent="0.15">
      <c r="A70" s="57" t="s">
        <v>792</v>
      </c>
      <c r="B70" s="58" t="s">
        <v>154</v>
      </c>
      <c r="C70" s="58"/>
      <c r="D70" s="58"/>
      <c r="E70" s="58"/>
      <c r="F70" s="58"/>
      <c r="G70" s="245">
        <f>Raw_Data!F115</f>
        <v>1</v>
      </c>
      <c r="H70" s="245">
        <f>Raw_Data!G115</f>
        <v>1</v>
      </c>
      <c r="I70" s="58"/>
      <c r="J70" s="245">
        <f>Raw_Data!I115</f>
        <v>13</v>
      </c>
      <c r="K70" s="245">
        <f>Raw_Data!J115</f>
        <v>26</v>
      </c>
      <c r="L70" s="245">
        <f>Raw_Data!K115</f>
        <v>298</v>
      </c>
      <c r="M70" s="246">
        <v>0</v>
      </c>
      <c r="N70" s="246">
        <v>0</v>
      </c>
      <c r="O70" s="246">
        <v>0</v>
      </c>
      <c r="P70" s="246">
        <v>0</v>
      </c>
      <c r="Q70" s="246">
        <v>0</v>
      </c>
      <c r="R70" s="246">
        <v>0</v>
      </c>
      <c r="S70" s="246">
        <v>0</v>
      </c>
      <c r="T70" s="246">
        <v>0</v>
      </c>
      <c r="U70" s="246">
        <v>0</v>
      </c>
      <c r="V70" s="246">
        <v>0</v>
      </c>
      <c r="X70" s="58"/>
      <c r="Y70" s="58"/>
      <c r="Z70" s="77">
        <f>SUM(K70:N70)</f>
        <v>324</v>
      </c>
      <c r="AA70" s="77">
        <f>SUM(O70:R70)</f>
        <v>0</v>
      </c>
      <c r="AB70" s="77">
        <f>SUM(S70:V70)</f>
        <v>0</v>
      </c>
      <c r="AD70" s="58" t="s">
        <v>793</v>
      </c>
    </row>
    <row r="71" spans="1:30" ht="15" customHeight="1" x14ac:dyDescent="0.15">
      <c r="A71" s="57" t="s">
        <v>794</v>
      </c>
      <c r="B71" s="58" t="s">
        <v>154</v>
      </c>
      <c r="C71" s="58"/>
      <c r="D71" s="58"/>
      <c r="E71" s="58"/>
      <c r="F71" s="58"/>
      <c r="G71" s="245">
        <f>Raw_Data!F118</f>
        <v>-20</v>
      </c>
      <c r="H71" s="245">
        <f>Raw_Data!G118</f>
        <v>486</v>
      </c>
      <c r="I71" s="58"/>
      <c r="J71" s="245">
        <f>Raw_Data!I118</f>
        <v>1312</v>
      </c>
      <c r="K71" s="245">
        <f>Raw_Data!J118</f>
        <v>2890</v>
      </c>
      <c r="L71" s="245">
        <f>Raw_Data!K118</f>
        <v>1517</v>
      </c>
      <c r="M71" s="246">
        <v>0</v>
      </c>
      <c r="N71" s="246">
        <v>0</v>
      </c>
      <c r="O71" s="246">
        <v>0</v>
      </c>
      <c r="P71" s="246">
        <v>0</v>
      </c>
      <c r="Q71" s="246">
        <v>0</v>
      </c>
      <c r="R71" s="246">
        <v>0</v>
      </c>
      <c r="S71" s="246">
        <v>0</v>
      </c>
      <c r="T71" s="246">
        <v>0</v>
      </c>
      <c r="U71" s="246">
        <v>0</v>
      </c>
      <c r="V71" s="246">
        <v>0</v>
      </c>
      <c r="X71" s="58"/>
      <c r="Y71" s="58"/>
      <c r="Z71" s="77">
        <f>SUM(K71:N71)</f>
        <v>4407</v>
      </c>
      <c r="AA71" s="77">
        <f>SUM(O71:R71)</f>
        <v>0</v>
      </c>
      <c r="AB71" s="77">
        <f>SUM(S71:V71)</f>
        <v>0</v>
      </c>
      <c r="AD71" s="58" t="s">
        <v>795</v>
      </c>
    </row>
    <row r="73" spans="1:30" ht="15" customHeight="1" x14ac:dyDescent="0.15">
      <c r="A73" s="56" t="s">
        <v>796</v>
      </c>
    </row>
    <row r="74" spans="1:30" ht="15" customHeight="1" x14ac:dyDescent="0.15">
      <c r="A74" s="57" t="s">
        <v>797</v>
      </c>
      <c r="B74" s="58" t="s">
        <v>690</v>
      </c>
      <c r="AA74" s="233">
        <v>0.7</v>
      </c>
      <c r="AB74" s="233">
        <v>0.33428799999999997</v>
      </c>
      <c r="AD74" s="58" t="s">
        <v>798</v>
      </c>
    </row>
    <row r="75" spans="1:30" ht="15" customHeight="1" x14ac:dyDescent="0.15">
      <c r="A75" s="57" t="s">
        <v>799</v>
      </c>
      <c r="B75" s="58" t="s">
        <v>154</v>
      </c>
      <c r="AA75" s="77">
        <f>Segment!Y10*(1+AA74)</f>
        <v>691376.01967341593</v>
      </c>
      <c r="AB75" s="77">
        <f>AA75*(1+AB74)</f>
        <v>922494.72653800272</v>
      </c>
    </row>
    <row r="76" spans="1:30" ht="15" customHeight="1" x14ac:dyDescent="0.15">
      <c r="A76" s="57" t="s">
        <v>800</v>
      </c>
      <c r="B76" s="58" t="s">
        <v>690</v>
      </c>
      <c r="O76" s="242">
        <v>0.20629500000000001</v>
      </c>
      <c r="P76" s="242">
        <v>0.23771400000000001</v>
      </c>
      <c r="Q76" s="242">
        <v>0.26580799999999999</v>
      </c>
      <c r="R76" s="242">
        <v>0.29018300000000002</v>
      </c>
      <c r="S76" s="242">
        <v>0.232957</v>
      </c>
      <c r="T76" s="242">
        <v>0.24581900000000001</v>
      </c>
      <c r="U76" s="242">
        <v>0.256351</v>
      </c>
      <c r="V76" s="242">
        <v>0.26487300000000003</v>
      </c>
      <c r="AA76" s="240">
        <f>SUM(O76:R76)</f>
        <v>1</v>
      </c>
      <c r="AB76" s="240">
        <f>SUM(S76:V76)</f>
        <v>1</v>
      </c>
      <c r="AD76" s="58" t="s">
        <v>801</v>
      </c>
    </row>
    <row r="77" spans="1:30" ht="15" customHeight="1" x14ac:dyDescent="0.15">
      <c r="A77" s="57" t="s">
        <v>802</v>
      </c>
      <c r="B77" s="58" t="s">
        <v>690</v>
      </c>
      <c r="C77" s="76">
        <v>0</v>
      </c>
      <c r="D77" s="76">
        <v>0</v>
      </c>
      <c r="E77" s="76">
        <v>0</v>
      </c>
      <c r="F77" s="76">
        <v>0</v>
      </c>
      <c r="G77" s="76">
        <v>0</v>
      </c>
      <c r="H77" s="76">
        <v>0</v>
      </c>
      <c r="I77" s="76">
        <v>0</v>
      </c>
      <c r="J77" s="76">
        <v>0</v>
      </c>
      <c r="K77" s="76">
        <v>0</v>
      </c>
      <c r="L77" s="76">
        <v>0</v>
      </c>
      <c r="M77" s="233">
        <v>0.2</v>
      </c>
      <c r="N77" s="233">
        <v>0.4</v>
      </c>
      <c r="O77" s="233">
        <v>0.6</v>
      </c>
      <c r="P77" s="233">
        <v>0.75</v>
      </c>
      <c r="Q77" s="233">
        <v>0.87</v>
      </c>
      <c r="R77" s="233">
        <v>0.93</v>
      </c>
      <c r="S77" s="233">
        <v>0.95</v>
      </c>
      <c r="T77" s="233">
        <v>0.97</v>
      </c>
      <c r="U77" s="233">
        <v>0.98</v>
      </c>
      <c r="V77" s="233">
        <v>0.98</v>
      </c>
      <c r="AD77" s="58" t="s">
        <v>803</v>
      </c>
    </row>
    <row r="78" spans="1:30" ht="15" customHeight="1" x14ac:dyDescent="0.15">
      <c r="A78" s="57" t="s">
        <v>804</v>
      </c>
      <c r="B78" s="58" t="s">
        <v>697</v>
      </c>
      <c r="M78" s="233">
        <v>0.6</v>
      </c>
      <c r="N78" s="233">
        <v>0.6</v>
      </c>
      <c r="O78" s="233">
        <v>0.6</v>
      </c>
      <c r="P78" s="233">
        <v>0.6</v>
      </c>
      <c r="Q78" s="233">
        <v>0.6</v>
      </c>
      <c r="R78" s="233">
        <v>0.6</v>
      </c>
      <c r="S78" s="233">
        <v>0.6</v>
      </c>
      <c r="T78" s="233">
        <v>0.6</v>
      </c>
      <c r="U78" s="233">
        <v>0.6</v>
      </c>
      <c r="V78" s="233">
        <v>0.6</v>
      </c>
      <c r="AD78" s="58" t="s">
        <v>805</v>
      </c>
    </row>
    <row r="79" spans="1:30" ht="15" customHeight="1" x14ac:dyDescent="0.15">
      <c r="A79" s="57" t="s">
        <v>806</v>
      </c>
      <c r="B79" s="58" t="s">
        <v>690</v>
      </c>
      <c r="M79" s="233">
        <v>0</v>
      </c>
      <c r="N79" s="233">
        <v>0</v>
      </c>
      <c r="O79" s="233">
        <v>0.05</v>
      </c>
      <c r="P79" s="233">
        <v>0.05</v>
      </c>
      <c r="Q79" s="233">
        <v>0.05</v>
      </c>
      <c r="R79" s="233">
        <v>0.05</v>
      </c>
      <c r="S79" s="233">
        <v>0.05</v>
      </c>
      <c r="T79" s="233">
        <v>0.05</v>
      </c>
      <c r="U79" s="233">
        <v>0.05</v>
      </c>
      <c r="V79" s="233">
        <v>0.05</v>
      </c>
      <c r="AD79" s="58" t="s">
        <v>807</v>
      </c>
    </row>
    <row r="80" spans="1:30" ht="15" customHeight="1" x14ac:dyDescent="0.15">
      <c r="A80" s="57" t="s">
        <v>808</v>
      </c>
      <c r="B80" s="58" t="s">
        <v>697</v>
      </c>
      <c r="C80" s="254">
        <v>1</v>
      </c>
      <c r="D80" s="254">
        <v>1</v>
      </c>
      <c r="E80" s="254">
        <v>1</v>
      </c>
      <c r="F80" s="254">
        <v>1</v>
      </c>
      <c r="G80" s="254">
        <v>1</v>
      </c>
      <c r="H80" s="254">
        <v>1</v>
      </c>
      <c r="I80" s="254">
        <v>1</v>
      </c>
      <c r="J80" s="254">
        <v>1</v>
      </c>
      <c r="K80" s="254">
        <v>1</v>
      </c>
      <c r="L80" s="254">
        <v>1</v>
      </c>
      <c r="M80" s="254">
        <f t="shared" ref="M80:V80" si="10">(1+M79)/(M77/(1+M78)+(1-M77))</f>
        <v>1.0810810810810809</v>
      </c>
      <c r="N80" s="254">
        <f t="shared" si="10"/>
        <v>1.1764705882352942</v>
      </c>
      <c r="O80" s="254">
        <f t="shared" si="10"/>
        <v>1.3548387096774195</v>
      </c>
      <c r="P80" s="254">
        <f t="shared" si="10"/>
        <v>1.4608695652173913</v>
      </c>
      <c r="Q80" s="254">
        <f t="shared" si="10"/>
        <v>1.5584415584415585</v>
      </c>
      <c r="R80" s="254">
        <f t="shared" si="10"/>
        <v>1.6122840690978888</v>
      </c>
      <c r="S80" s="254">
        <f t="shared" si="10"/>
        <v>1.6310679611650487</v>
      </c>
      <c r="T80" s="254">
        <f t="shared" si="10"/>
        <v>1.650294695481336</v>
      </c>
      <c r="U80" s="254">
        <f t="shared" si="10"/>
        <v>1.6600790513833994</v>
      </c>
      <c r="V80" s="254">
        <f t="shared" si="10"/>
        <v>1.6600790513833994</v>
      </c>
      <c r="AD80" s="58" t="s">
        <v>809</v>
      </c>
    </row>
    <row r="81" spans="1:30" ht="15" customHeight="1" x14ac:dyDescent="0.15">
      <c r="A81" s="57" t="s">
        <v>810</v>
      </c>
      <c r="B81" s="58" t="s">
        <v>690</v>
      </c>
      <c r="M81" s="233">
        <v>0.5</v>
      </c>
      <c r="N81" s="233">
        <v>0.5</v>
      </c>
      <c r="O81" s="233">
        <v>0.5</v>
      </c>
      <c r="P81" s="233">
        <v>0.5</v>
      </c>
      <c r="Q81" s="233">
        <v>0.5</v>
      </c>
      <c r="R81" s="233">
        <v>0.5</v>
      </c>
      <c r="S81" s="233">
        <v>0.5</v>
      </c>
      <c r="T81" s="233">
        <v>0.5</v>
      </c>
      <c r="U81" s="233">
        <v>0.5</v>
      </c>
      <c r="V81" s="233">
        <v>0.5</v>
      </c>
      <c r="AD81" s="58" t="s">
        <v>811</v>
      </c>
    </row>
    <row r="82" spans="1:30" ht="15" customHeight="1" x14ac:dyDescent="0.15">
      <c r="A82" s="57" t="s">
        <v>812</v>
      </c>
      <c r="B82" s="58" t="s">
        <v>154</v>
      </c>
      <c r="M82" s="246">
        <f>Raw_Data!$K$372/6</f>
        <v>4166.666666666667</v>
      </c>
      <c r="N82" s="246">
        <f>Raw_Data!$K$372/6</f>
        <v>4166.666666666667</v>
      </c>
      <c r="O82" s="246">
        <f>Raw_Data!$K$372/6</f>
        <v>4166.666666666667</v>
      </c>
      <c r="P82" s="246">
        <f>Raw_Data!$K$372/6</f>
        <v>4166.666666666667</v>
      </c>
      <c r="Q82" s="246">
        <f>Raw_Data!$K$372/6</f>
        <v>4166.666666666667</v>
      </c>
      <c r="R82" s="246">
        <f>Raw_Data!$K$372/6</f>
        <v>4166.666666666667</v>
      </c>
      <c r="S82" s="246">
        <v>0</v>
      </c>
      <c r="T82" s="246">
        <v>0</v>
      </c>
      <c r="U82" s="246">
        <v>0</v>
      </c>
      <c r="V82" s="246">
        <v>0</v>
      </c>
      <c r="Z82" s="77">
        <f>SUM(K82:N82)</f>
        <v>8333.3333333333339</v>
      </c>
      <c r="AA82" s="77">
        <f>SUM(O82:R82)</f>
        <v>16666.666666666668</v>
      </c>
      <c r="AB82" s="77">
        <f>SUM(S82:V82)</f>
        <v>0</v>
      </c>
      <c r="AD82" s="58" t="s">
        <v>813</v>
      </c>
    </row>
    <row r="83" spans="1:30" ht="15" customHeight="1" x14ac:dyDescent="0.15">
      <c r="A83" s="57" t="s">
        <v>814</v>
      </c>
      <c r="B83" s="58" t="s">
        <v>154</v>
      </c>
      <c r="M83" s="246">
        <v>0</v>
      </c>
      <c r="N83" s="246">
        <v>0</v>
      </c>
      <c r="O83" s="246">
        <v>0</v>
      </c>
      <c r="P83" s="246">
        <f>Raw_Data!$K$377</f>
        <v>11900</v>
      </c>
      <c r="Q83" s="246">
        <v>0</v>
      </c>
      <c r="R83" s="246">
        <v>0</v>
      </c>
      <c r="S83" s="246">
        <v>0</v>
      </c>
      <c r="T83" s="246">
        <v>0</v>
      </c>
      <c r="U83" s="246">
        <v>0</v>
      </c>
      <c r="V83" s="246">
        <v>0</v>
      </c>
      <c r="Z83" s="77">
        <f>SUM(K83:N83)</f>
        <v>0</v>
      </c>
      <c r="AA83" s="77">
        <f>SUM(O83:R83)</f>
        <v>11900</v>
      </c>
      <c r="AB83" s="77">
        <f>SUM(S83:V83)</f>
        <v>0</v>
      </c>
      <c r="AD83" s="58" t="s">
        <v>815</v>
      </c>
    </row>
    <row r="84" spans="1:30" ht="15" customHeight="1" x14ac:dyDescent="0.15">
      <c r="A84" s="57" t="s">
        <v>816</v>
      </c>
      <c r="B84" s="58" t="s">
        <v>154</v>
      </c>
      <c r="L84" s="245">
        <f>Raw_Data!K376</f>
        <v>108500</v>
      </c>
      <c r="AD84" s="58" t="s">
        <v>817</v>
      </c>
    </row>
    <row r="85" spans="1:30" ht="15" customHeight="1" x14ac:dyDescent="0.15">
      <c r="A85" s="57" t="s">
        <v>818</v>
      </c>
      <c r="B85" s="58" t="s">
        <v>154</v>
      </c>
      <c r="Z85" s="255">
        <f>Raw_Data!K371</f>
        <v>279000</v>
      </c>
      <c r="AA85" s="255">
        <f>Z85*(Segment!Z8/Segment!Y8)</f>
        <v>485244.4146034997</v>
      </c>
      <c r="AB85" s="255">
        <f>AA85*(Segment!AA8/Segment!Z8)</f>
        <v>652459.13530496939</v>
      </c>
      <c r="AD85" s="58" t="s">
        <v>819</v>
      </c>
    </row>
  </sheetData>
  <phoneticPr fontId="61" type="noConversion"/>
  <pageMargins left="0.75" right="0.75" top="1" bottom="1" header="0.511811023622047" footer="0.511811023622047"/>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112"/>
  <sheetViews>
    <sheetView showGridLines="0" zoomScale="139" zoomScaleNormal="139" workbookViewId="0">
      <pane xSplit="1" ySplit="6" topLeftCell="G69" activePane="bottomRight" state="frozen"/>
      <selection pane="topRight" activeCell="G1" sqref="G1"/>
      <selection pane="bottomLeft" activeCell="A69" sqref="A69"/>
      <selection pane="bottomRight" activeCell="I75" sqref="I75"/>
    </sheetView>
  </sheetViews>
  <sheetFormatPr baseColWidth="10" defaultColWidth="9.5" defaultRowHeight="14" x14ac:dyDescent="0.15"/>
  <cols>
    <col min="1" max="1" width="50" customWidth="1"/>
    <col min="2" max="21" width="14.1640625" customWidth="1"/>
    <col min="22" max="22" width="2.1640625" customWidth="1"/>
    <col min="23" max="27" width="14.1640625" customWidth="1"/>
    <col min="28" max="28" width="56.6640625" customWidth="1"/>
    <col min="29" max="29" width="79.83203125" customWidth="1"/>
  </cols>
  <sheetData>
    <row r="1" spans="1:29" ht="21.75" customHeight="1" x14ac:dyDescent="0.2">
      <c r="A1" s="68" t="s">
        <v>820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ht="15" customHeight="1" x14ac:dyDescent="0.15">
      <c r="A2" s="56" t="s">
        <v>646</v>
      </c>
    </row>
    <row r="3" spans="1:29" ht="15" customHeight="1" x14ac:dyDescent="0.15">
      <c r="A3" s="57" t="s">
        <v>647</v>
      </c>
    </row>
    <row r="4" spans="1:29" ht="15" customHeight="1" x14ac:dyDescent="0.15">
      <c r="A4" s="73" t="s">
        <v>215</v>
      </c>
      <c r="B4" s="98" t="s">
        <v>648</v>
      </c>
      <c r="C4" s="98" t="s">
        <v>649</v>
      </c>
      <c r="D4" s="98" t="s">
        <v>650</v>
      </c>
      <c r="E4" s="98" t="s">
        <v>651</v>
      </c>
      <c r="F4" s="98" t="s">
        <v>652</v>
      </c>
      <c r="G4" s="98" t="s">
        <v>653</v>
      </c>
      <c r="H4" s="98" t="s">
        <v>654</v>
      </c>
      <c r="I4" s="98" t="s">
        <v>655</v>
      </c>
      <c r="J4" s="98" t="s">
        <v>656</v>
      </c>
      <c r="K4" s="98" t="s">
        <v>657</v>
      </c>
      <c r="L4" s="98" t="s">
        <v>658</v>
      </c>
      <c r="M4" s="98" t="s">
        <v>659</v>
      </c>
      <c r="N4" s="98" t="s">
        <v>660</v>
      </c>
      <c r="O4" s="98" t="s">
        <v>661</v>
      </c>
      <c r="P4" s="98" t="s">
        <v>662</v>
      </c>
      <c r="Q4" s="98" t="s">
        <v>663</v>
      </c>
      <c r="R4" s="98" t="s">
        <v>664</v>
      </c>
      <c r="S4" s="98" t="s">
        <v>665</v>
      </c>
      <c r="T4" s="98" t="s">
        <v>666</v>
      </c>
      <c r="U4" s="98" t="s">
        <v>667</v>
      </c>
      <c r="V4" s="211"/>
      <c r="W4" s="98" t="s">
        <v>651</v>
      </c>
      <c r="X4" s="98" t="s">
        <v>655</v>
      </c>
      <c r="Y4" s="98" t="s">
        <v>659</v>
      </c>
      <c r="Z4" s="98" t="s">
        <v>663</v>
      </c>
      <c r="AA4" s="98" t="s">
        <v>667</v>
      </c>
      <c r="AB4" s="69"/>
      <c r="AC4" s="69"/>
    </row>
    <row r="5" spans="1:29" ht="15" customHeight="1" x14ac:dyDescent="0.15">
      <c r="A5" s="73" t="s">
        <v>668</v>
      </c>
      <c r="B5" s="74" t="s">
        <v>669</v>
      </c>
      <c r="C5" s="74" t="s">
        <v>670</v>
      </c>
      <c r="D5" s="74" t="s">
        <v>671</v>
      </c>
      <c r="E5" s="74" t="s">
        <v>672</v>
      </c>
      <c r="F5" s="74" t="s">
        <v>673</v>
      </c>
      <c r="G5" s="74" t="s">
        <v>674</v>
      </c>
      <c r="H5" s="74" t="s">
        <v>675</v>
      </c>
      <c r="I5" s="74" t="s">
        <v>676</v>
      </c>
      <c r="J5" s="74" t="s">
        <v>677</v>
      </c>
      <c r="K5" s="74" t="s">
        <v>678</v>
      </c>
      <c r="L5" s="74" t="s">
        <v>547</v>
      </c>
      <c r="M5" s="74" t="s">
        <v>548</v>
      </c>
      <c r="N5" s="74" t="s">
        <v>679</v>
      </c>
      <c r="O5" s="74" t="s">
        <v>680</v>
      </c>
      <c r="P5" s="74" t="s">
        <v>681</v>
      </c>
      <c r="Q5" s="74" t="s">
        <v>682</v>
      </c>
      <c r="R5" s="74" t="s">
        <v>683</v>
      </c>
      <c r="S5" s="74" t="s">
        <v>684</v>
      </c>
      <c r="T5" s="74" t="s">
        <v>685</v>
      </c>
      <c r="U5" s="74" t="s">
        <v>686</v>
      </c>
      <c r="V5" s="231"/>
      <c r="W5" s="74" t="s">
        <v>687</v>
      </c>
      <c r="X5" s="74" t="s">
        <v>549</v>
      </c>
      <c r="Y5" s="74" t="s">
        <v>236</v>
      </c>
      <c r="Z5" s="74" t="s">
        <v>237</v>
      </c>
      <c r="AA5" s="74" t="s">
        <v>238</v>
      </c>
      <c r="AB5" s="73"/>
      <c r="AC5" s="73"/>
    </row>
    <row r="6" spans="1:29" ht="15" customHeight="1" x14ac:dyDescent="0.15">
      <c r="A6" s="56" t="s">
        <v>358</v>
      </c>
      <c r="B6" s="232" t="s">
        <v>359</v>
      </c>
      <c r="C6" s="232" t="s">
        <v>359</v>
      </c>
      <c r="D6" s="232" t="s">
        <v>359</v>
      </c>
      <c r="E6" s="232" t="s">
        <v>359</v>
      </c>
      <c r="F6" s="232" t="s">
        <v>359</v>
      </c>
      <c r="G6" s="232" t="s">
        <v>359</v>
      </c>
      <c r="H6" s="232" t="s">
        <v>359</v>
      </c>
      <c r="I6" s="232" t="s">
        <v>359</v>
      </c>
      <c r="J6" s="232" t="s">
        <v>359</v>
      </c>
      <c r="K6" s="232" t="s">
        <v>359</v>
      </c>
      <c r="L6" s="232" t="s">
        <v>551</v>
      </c>
      <c r="M6" s="232" t="s">
        <v>551</v>
      </c>
      <c r="N6" s="232" t="s">
        <v>551</v>
      </c>
      <c r="O6" s="232" t="s">
        <v>551</v>
      </c>
      <c r="P6" s="232" t="s">
        <v>551</v>
      </c>
      <c r="Q6" s="232" t="s">
        <v>551</v>
      </c>
      <c r="R6" s="232" t="s">
        <v>551</v>
      </c>
      <c r="S6" s="232" t="s">
        <v>551</v>
      </c>
      <c r="T6" s="232" t="s">
        <v>551</v>
      </c>
      <c r="U6" s="232" t="s">
        <v>551</v>
      </c>
      <c r="V6" s="211"/>
      <c r="W6" s="232" t="s">
        <v>359</v>
      </c>
      <c r="X6" s="232" t="s">
        <v>359</v>
      </c>
      <c r="Y6" s="232" t="s">
        <v>551</v>
      </c>
      <c r="Z6" s="232" t="s">
        <v>551</v>
      </c>
      <c r="AA6" s="232" t="s">
        <v>551</v>
      </c>
    </row>
    <row r="7" spans="1:29" ht="15" customHeight="1" x14ac:dyDescent="0.15">
      <c r="A7" s="59" t="s">
        <v>821</v>
      </c>
      <c r="B7" s="114"/>
      <c r="C7" s="114"/>
      <c r="D7" s="114"/>
      <c r="E7" s="114"/>
      <c r="F7" s="114"/>
      <c r="G7" s="114"/>
      <c r="H7" s="114"/>
      <c r="I7" s="114"/>
      <c r="J7" s="114"/>
      <c r="K7" s="114"/>
      <c r="L7" s="114"/>
      <c r="M7" s="114"/>
      <c r="N7" s="114"/>
      <c r="O7" s="114"/>
      <c r="P7" s="114"/>
      <c r="Q7" s="114"/>
      <c r="R7" s="114"/>
      <c r="S7" s="114"/>
      <c r="T7" s="114"/>
      <c r="U7" s="114"/>
      <c r="V7" s="211"/>
      <c r="W7" s="114"/>
      <c r="X7" s="114"/>
      <c r="Y7" s="114"/>
      <c r="Z7" s="114"/>
      <c r="AA7" s="114"/>
      <c r="AB7" s="114"/>
      <c r="AC7" s="114"/>
    </row>
    <row r="8" spans="1:29" ht="15" customHeight="1" x14ac:dyDescent="0.15">
      <c r="A8" s="57" t="s">
        <v>75</v>
      </c>
      <c r="B8" s="245">
        <f>Raw_Data!B67</f>
        <v>22563</v>
      </c>
      <c r="C8" s="245">
        <f>Raw_Data!C67</f>
        <v>26272</v>
      </c>
      <c r="D8" s="245">
        <f>Raw_Data!D67</f>
        <v>30771</v>
      </c>
      <c r="E8" s="245">
        <f>Raw_Data!E67</f>
        <v>35580</v>
      </c>
      <c r="F8" s="245">
        <f>Raw_Data!F67</f>
        <v>39112</v>
      </c>
      <c r="G8" s="245">
        <f>Raw_Data!G67</f>
        <v>41096</v>
      </c>
      <c r="H8" s="245">
        <f>Raw_Data!H67</f>
        <v>51215</v>
      </c>
      <c r="I8" s="245">
        <f>Raw_Data!I67</f>
        <v>62314</v>
      </c>
      <c r="J8" s="245">
        <f>Raw_Data!J67</f>
        <v>75246</v>
      </c>
      <c r="K8" s="245">
        <f>Raw_Data!K67</f>
        <v>89023</v>
      </c>
      <c r="L8" s="77">
        <f t="shared" ref="L8:U8" si="0">L44+L45</f>
        <v>102032.63201839999</v>
      </c>
      <c r="M8" s="77">
        <f t="shared" si="0"/>
        <v>111325.48526007999</v>
      </c>
      <c r="N8" s="77">
        <f t="shared" si="0"/>
        <v>135490.304002886</v>
      </c>
      <c r="O8" s="77">
        <f t="shared" si="0"/>
        <v>156125.65561812959</v>
      </c>
      <c r="P8" s="77">
        <f t="shared" si="0"/>
        <v>174577.21576576805</v>
      </c>
      <c r="Q8" s="77">
        <f t="shared" si="0"/>
        <v>190586.21336663258</v>
      </c>
      <c r="R8" s="77">
        <f t="shared" si="0"/>
        <v>205725.46427096767</v>
      </c>
      <c r="S8" s="77">
        <f t="shared" si="0"/>
        <v>217083.9592784291</v>
      </c>
      <c r="T8" s="77">
        <f t="shared" si="0"/>
        <v>226384.81990808103</v>
      </c>
      <c r="U8" s="77">
        <f t="shared" si="0"/>
        <v>233910.63972254118</v>
      </c>
      <c r="W8" s="77">
        <f>SUM(B8:E8)</f>
        <v>115186</v>
      </c>
      <c r="X8" s="77">
        <f>SUM(F8:I8)</f>
        <v>193737</v>
      </c>
      <c r="Y8" s="77">
        <f>SUM(J8:M8)</f>
        <v>377627.11727847997</v>
      </c>
      <c r="Z8" s="77">
        <f>SUM(N8:Q8)</f>
        <v>656779.38875341625</v>
      </c>
      <c r="AA8" s="77">
        <f>SUM(R8:U8)</f>
        <v>883104.88318001898</v>
      </c>
      <c r="AB8" s="58" t="s">
        <v>822</v>
      </c>
    </row>
    <row r="9" spans="1:29" s="259" customFormat="1" ht="15" customHeight="1" x14ac:dyDescent="0.15">
      <c r="A9" s="256" t="s">
        <v>823</v>
      </c>
      <c r="B9" s="257">
        <f>Raw_Data!B68+Raw_Data!B69+Raw_Data!B70+Raw_Data!B71</f>
        <v>3481</v>
      </c>
      <c r="C9" s="257">
        <f>Raw_Data!C68+Raw_Data!C69+Raw_Data!C70+Raw_Data!C71</f>
        <v>3768</v>
      </c>
      <c r="D9" s="257">
        <f>Raw_Data!D68+Raw_Data!D69+Raw_Data!D70+Raw_Data!D71</f>
        <v>4311</v>
      </c>
      <c r="E9" s="257">
        <f>Raw_Data!E68+Raw_Data!E69+Raw_Data!E70+Raw_Data!E71</f>
        <v>3751</v>
      </c>
      <c r="F9" s="257">
        <f>Raw_Data!F68+Raw_Data!F69+Raw_Data!F70+Raw_Data!F71</f>
        <v>4950</v>
      </c>
      <c r="G9" s="257">
        <f>Raw_Data!G68+Raw_Data!G69+Raw_Data!G70+Raw_Data!G71</f>
        <v>5647</v>
      </c>
      <c r="H9" s="257">
        <f>Raw_Data!H68+Raw_Data!H69+Raw_Data!H70+Raw_Data!H71</f>
        <v>5791</v>
      </c>
      <c r="I9" s="257">
        <f>Raw_Data!I68+Raw_Data!I69+Raw_Data!I70+Raw_Data!I71</f>
        <v>5813</v>
      </c>
      <c r="J9" s="257">
        <f>Raw_Data!J68</f>
        <v>6369</v>
      </c>
      <c r="K9" s="257">
        <f>Raw_Data!K68</f>
        <v>7198</v>
      </c>
      <c r="L9" s="258">
        <f>H9/Assumptions!I13*(1+Assumptions!M25)*Assumptions!M13</f>
        <v>7597.7920000000004</v>
      </c>
      <c r="M9" s="258">
        <f>I9/Assumptions!J13*(1+Assumptions!N25)*Assumptions!N13</f>
        <v>7899.8670000000002</v>
      </c>
      <c r="N9" s="258">
        <f>J9/Assumptions!K13*(1+Assumptions!O25)*Assumptions!O13</f>
        <v>8196.9030000000002</v>
      </c>
      <c r="O9" s="258">
        <f>K9/Assumptions!L13*(1+Assumptions!P25)*Assumptions!P13</f>
        <v>8500.8379999999997</v>
      </c>
      <c r="P9" s="258">
        <f>L9/Assumptions!M13*(1+Assumptions!Q25)*Assumptions!Q13</f>
        <v>8798.2431359999991</v>
      </c>
      <c r="Q9" s="258">
        <f>M9/Assumptions!N13*(1+Assumptions!R25)*Assumptions!R13</f>
        <v>9100.6467839999987</v>
      </c>
      <c r="R9" s="258">
        <f>N9/Assumptions!O13*(1+Assumptions!S25)*Assumptions!S13</f>
        <v>9393.6508379999996</v>
      </c>
      <c r="S9" s="258">
        <f>O9/Assumptions!P13*(1+Assumptions!T25)*Assumptions!T13</f>
        <v>9699.456157999999</v>
      </c>
      <c r="T9" s="258">
        <f>P9/Assumptions!Q13*(1+Assumptions!U25)*Assumptions!U13</f>
        <v>9994.8042024959996</v>
      </c>
      <c r="U9" s="258">
        <f>Q9/Assumptions!R13*(1+Assumptions!V25)*Assumptions!V13</f>
        <v>10301.932159488</v>
      </c>
      <c r="W9" s="258">
        <f>SUM(B9:E9)</f>
        <v>15311</v>
      </c>
      <c r="X9" s="258">
        <f>SUM(F9:I9)</f>
        <v>22201</v>
      </c>
      <c r="Y9" s="258">
        <f>SUM(J9:M9)</f>
        <v>29064.659</v>
      </c>
      <c r="Z9" s="258">
        <f>SUM(N9:Q9)</f>
        <v>34596.630919999996</v>
      </c>
      <c r="AA9" s="258">
        <f>SUM(R9:U9)</f>
        <v>39389.843357983998</v>
      </c>
      <c r="AB9" s="58" t="s">
        <v>824</v>
      </c>
    </row>
    <row r="10" spans="1:29" ht="15" customHeight="1" x14ac:dyDescent="0.15">
      <c r="A10" s="56" t="s">
        <v>77</v>
      </c>
      <c r="B10" s="260">
        <f t="shared" ref="B10:I10" si="1">B26</f>
        <v>26044</v>
      </c>
      <c r="C10" s="260">
        <f t="shared" si="1"/>
        <v>30040</v>
      </c>
      <c r="D10" s="260">
        <f t="shared" si="1"/>
        <v>35082</v>
      </c>
      <c r="E10" s="260">
        <f t="shared" si="1"/>
        <v>39331</v>
      </c>
      <c r="F10" s="260">
        <f t="shared" si="1"/>
        <v>44062</v>
      </c>
      <c r="G10" s="260">
        <f t="shared" si="1"/>
        <v>46743</v>
      </c>
      <c r="H10" s="260">
        <f t="shared" si="1"/>
        <v>57006</v>
      </c>
      <c r="I10" s="260">
        <f t="shared" si="1"/>
        <v>68127</v>
      </c>
      <c r="J10" s="260">
        <f t="shared" ref="J10:U10" si="2">SUM(J8:J9)</f>
        <v>81615</v>
      </c>
      <c r="K10" s="260">
        <f t="shared" si="2"/>
        <v>96221</v>
      </c>
      <c r="L10" s="260">
        <f t="shared" si="2"/>
        <v>109630.42401839999</v>
      </c>
      <c r="M10" s="260">
        <f t="shared" si="2"/>
        <v>119225.35226007999</v>
      </c>
      <c r="N10" s="260">
        <f t="shared" si="2"/>
        <v>143687.20700288599</v>
      </c>
      <c r="O10" s="260">
        <f t="shared" si="2"/>
        <v>164626.49361812958</v>
      </c>
      <c r="P10" s="260">
        <f t="shared" si="2"/>
        <v>183375.45890176806</v>
      </c>
      <c r="Q10" s="260">
        <f t="shared" si="2"/>
        <v>199686.86015063259</v>
      </c>
      <c r="R10" s="260">
        <f t="shared" si="2"/>
        <v>215119.11510896767</v>
      </c>
      <c r="S10" s="260">
        <f t="shared" si="2"/>
        <v>226783.41543642909</v>
      </c>
      <c r="T10" s="260">
        <f t="shared" si="2"/>
        <v>236379.62411057702</v>
      </c>
      <c r="U10" s="260">
        <f t="shared" si="2"/>
        <v>244212.57188202918</v>
      </c>
      <c r="V10" s="56"/>
      <c r="W10" s="260">
        <f>SUM(W8:W9)</f>
        <v>130497</v>
      </c>
      <c r="X10" s="260">
        <f>SUM(X8:X9)</f>
        <v>215938</v>
      </c>
      <c r="Y10" s="260">
        <f>SUM(Y8:Y9)</f>
        <v>406691.77627847996</v>
      </c>
      <c r="Z10" s="260">
        <f>SUM(Z8:Z9)</f>
        <v>691376.01967341627</v>
      </c>
      <c r="AA10" s="260">
        <f>SUM(AA8:AA9)</f>
        <v>922494.72653800296</v>
      </c>
      <c r="AB10" s="261" t="s">
        <v>825</v>
      </c>
      <c r="AC10" s="262"/>
    </row>
    <row r="12" spans="1:29" s="82" customFormat="1" ht="13.5" customHeight="1" x14ac:dyDescent="0.15">
      <c r="A12" s="80" t="s">
        <v>826</v>
      </c>
      <c r="F12" s="263">
        <f t="shared" ref="F12:U14" si="3">IF(B8=0,0,F8/B8-1)</f>
        <v>0.73345743030625354</v>
      </c>
      <c r="G12" s="263">
        <f t="shared" si="3"/>
        <v>0.56425091352009749</v>
      </c>
      <c r="H12" s="263">
        <f t="shared" si="3"/>
        <v>0.66439179747164534</v>
      </c>
      <c r="I12" s="263">
        <f t="shared" si="3"/>
        <v>0.75137717818999428</v>
      </c>
      <c r="J12" s="263">
        <f t="shared" si="3"/>
        <v>0.92385968500715898</v>
      </c>
      <c r="K12" s="263">
        <f t="shared" si="3"/>
        <v>1.166220556745182</v>
      </c>
      <c r="L12" s="263">
        <f t="shared" si="3"/>
        <v>0.99224117970125936</v>
      </c>
      <c r="M12" s="263">
        <f t="shared" si="3"/>
        <v>0.78652446095708828</v>
      </c>
      <c r="N12" s="263">
        <f t="shared" si="3"/>
        <v>0.80063131598870374</v>
      </c>
      <c r="O12" s="263">
        <f t="shared" si="3"/>
        <v>0.75376762879401493</v>
      </c>
      <c r="P12" s="263">
        <f t="shared" si="3"/>
        <v>0.71099394686090012</v>
      </c>
      <c r="Q12" s="263">
        <f t="shared" si="3"/>
        <v>0.71197289570651945</v>
      </c>
      <c r="R12" s="263">
        <f t="shared" si="3"/>
        <v>0.51837775983280432</v>
      </c>
      <c r="S12" s="263">
        <f t="shared" si="3"/>
        <v>0.39044386022883049</v>
      </c>
      <c r="T12" s="263">
        <f t="shared" si="3"/>
        <v>0.29676039862970294</v>
      </c>
      <c r="U12" s="263">
        <f t="shared" si="3"/>
        <v>0.22732193263405143</v>
      </c>
      <c r="X12" s="263">
        <f t="shared" ref="X12:AA14" si="4">IF(W8=0,0,(X8-W8)/W8)</f>
        <v>0.68194919521469621</v>
      </c>
      <c r="Y12" s="263">
        <f t="shared" si="4"/>
        <v>0.94917396923912301</v>
      </c>
      <c r="Z12" s="263">
        <f t="shared" si="4"/>
        <v>0.73922729248566199</v>
      </c>
      <c r="AA12" s="263">
        <f t="shared" si="4"/>
        <v>0.34459896017165548</v>
      </c>
    </row>
    <row r="13" spans="1:29" s="82" customFormat="1" ht="13.5" customHeight="1" x14ac:dyDescent="0.15">
      <c r="A13" s="80" t="s">
        <v>827</v>
      </c>
      <c r="F13" s="263">
        <f t="shared" si="3"/>
        <v>0.42200517092789425</v>
      </c>
      <c r="G13" s="263">
        <f t="shared" si="3"/>
        <v>0.49867303609341818</v>
      </c>
      <c r="H13" s="263">
        <f t="shared" si="3"/>
        <v>0.34330781721178383</v>
      </c>
      <c r="I13" s="263">
        <f t="shared" si="3"/>
        <v>0.54972007464676076</v>
      </c>
      <c r="J13" s="263">
        <f t="shared" si="3"/>
        <v>0.28666666666666663</v>
      </c>
      <c r="K13" s="263">
        <f t="shared" si="3"/>
        <v>0.27465911103240659</v>
      </c>
      <c r="L13" s="263">
        <f t="shared" si="3"/>
        <v>0.31200000000000006</v>
      </c>
      <c r="M13" s="263">
        <f t="shared" si="3"/>
        <v>0.35899999999999999</v>
      </c>
      <c r="N13" s="263">
        <f t="shared" si="3"/>
        <v>0.28700000000000014</v>
      </c>
      <c r="O13" s="263">
        <f t="shared" si="3"/>
        <v>0.18100000000000005</v>
      </c>
      <c r="P13" s="263">
        <f t="shared" si="3"/>
        <v>0.15799999999999992</v>
      </c>
      <c r="Q13" s="263">
        <f t="shared" si="3"/>
        <v>0.15199999999999991</v>
      </c>
      <c r="R13" s="263">
        <f t="shared" si="3"/>
        <v>0.14599999999999991</v>
      </c>
      <c r="S13" s="263">
        <f t="shared" si="3"/>
        <v>0.14100000000000001</v>
      </c>
      <c r="T13" s="263">
        <f t="shared" si="3"/>
        <v>0.13600000000000012</v>
      </c>
      <c r="U13" s="263">
        <f t="shared" si="3"/>
        <v>0.13200000000000012</v>
      </c>
      <c r="X13" s="263">
        <f t="shared" si="4"/>
        <v>0.4500032656260205</v>
      </c>
      <c r="Y13" s="263">
        <f t="shared" si="4"/>
        <v>0.30915990270708527</v>
      </c>
      <c r="Z13" s="263">
        <f t="shared" si="4"/>
        <v>0.19033328139167216</v>
      </c>
      <c r="AA13" s="263">
        <f t="shared" si="4"/>
        <v>0.13854564188829988</v>
      </c>
    </row>
    <row r="14" spans="1:29" s="82" customFormat="1" ht="13.5" customHeight="1" x14ac:dyDescent="0.15">
      <c r="A14" s="80" t="s">
        <v>828</v>
      </c>
      <c r="B14" s="86"/>
      <c r="C14" s="86"/>
      <c r="D14" s="86"/>
      <c r="E14" s="86"/>
      <c r="F14" s="263">
        <f t="shared" si="3"/>
        <v>0.69182921210259551</v>
      </c>
      <c r="G14" s="263">
        <f t="shared" si="3"/>
        <v>0.5560252996005326</v>
      </c>
      <c r="H14" s="263">
        <f t="shared" si="3"/>
        <v>0.62493586454592109</v>
      </c>
      <c r="I14" s="263">
        <f t="shared" si="3"/>
        <v>0.73214512725331171</v>
      </c>
      <c r="J14" s="263">
        <f t="shared" si="3"/>
        <v>0.85227633788752222</v>
      </c>
      <c r="K14" s="263">
        <f t="shared" si="3"/>
        <v>1.0585114348672526</v>
      </c>
      <c r="L14" s="263">
        <f t="shared" si="3"/>
        <v>0.9231383366382484</v>
      </c>
      <c r="M14" s="263">
        <f t="shared" si="3"/>
        <v>0.75004553642579297</v>
      </c>
      <c r="N14" s="263">
        <f t="shared" si="3"/>
        <v>0.76054900450757823</v>
      </c>
      <c r="O14" s="263">
        <f t="shared" si="3"/>
        <v>0.71092062666288625</v>
      </c>
      <c r="P14" s="263">
        <f t="shared" si="3"/>
        <v>0.67266943044013905</v>
      </c>
      <c r="Q14" s="263">
        <f t="shared" si="3"/>
        <v>0.67486911437286135</v>
      </c>
      <c r="R14" s="263">
        <f t="shared" si="3"/>
        <v>0.49713478044462889</v>
      </c>
      <c r="S14" s="263">
        <f t="shared" si="3"/>
        <v>0.37756329769423247</v>
      </c>
      <c r="T14" s="263">
        <f t="shared" si="3"/>
        <v>0.28904721234918695</v>
      </c>
      <c r="U14" s="263">
        <f t="shared" si="3"/>
        <v>0.22297767463421914</v>
      </c>
      <c r="W14" s="86"/>
      <c r="X14" s="263">
        <f t="shared" si="4"/>
        <v>0.65473535790094795</v>
      </c>
      <c r="Y14" s="263">
        <f t="shared" si="4"/>
        <v>0.88337289536107566</v>
      </c>
      <c r="Z14" s="263">
        <f t="shared" si="4"/>
        <v>0.70000000000000084</v>
      </c>
      <c r="AA14" s="263">
        <f t="shared" si="4"/>
        <v>0.33428799999999959</v>
      </c>
    </row>
    <row r="15" spans="1:29" s="267" customFormat="1" ht="15" customHeight="1" x14ac:dyDescent="0.15">
      <c r="A15" s="264"/>
      <c r="B15" s="265"/>
      <c r="C15" s="265"/>
      <c r="D15" s="265"/>
      <c r="E15" s="265"/>
      <c r="F15" s="266"/>
      <c r="G15" s="266"/>
      <c r="H15" s="266"/>
      <c r="I15" s="266"/>
      <c r="W15" s="265"/>
      <c r="X15" s="265"/>
    </row>
    <row r="16" spans="1:29" s="82" customFormat="1" ht="15" customHeight="1" x14ac:dyDescent="0.15">
      <c r="A16" s="80" t="s">
        <v>829</v>
      </c>
      <c r="B16" s="263">
        <f t="shared" ref="B16:U16" si="5">B8/B$10</f>
        <v>0.86634157579480875</v>
      </c>
      <c r="C16" s="263">
        <f t="shared" si="5"/>
        <v>0.87456724367509986</v>
      </c>
      <c r="D16" s="263">
        <f t="shared" si="5"/>
        <v>0.87711646998460746</v>
      </c>
      <c r="E16" s="263">
        <f t="shared" si="5"/>
        <v>0.90462993567415018</v>
      </c>
      <c r="F16" s="263">
        <f t="shared" si="5"/>
        <v>0.88765829966864873</v>
      </c>
      <c r="G16" s="263">
        <f t="shared" si="5"/>
        <v>0.87919046702180004</v>
      </c>
      <c r="H16" s="263">
        <f t="shared" si="5"/>
        <v>0.89841420201382316</v>
      </c>
      <c r="I16" s="263">
        <f t="shared" si="5"/>
        <v>0.91467406461461687</v>
      </c>
      <c r="J16" s="263">
        <f t="shared" si="5"/>
        <v>0.92196287447160452</v>
      </c>
      <c r="K16" s="263">
        <f t="shared" si="5"/>
        <v>0.92519304517724821</v>
      </c>
      <c r="L16" s="263">
        <f t="shared" si="5"/>
        <v>0.93069631839857869</v>
      </c>
      <c r="M16" s="263">
        <f t="shared" si="5"/>
        <v>0.93374004060170768</v>
      </c>
      <c r="N16" s="263">
        <f t="shared" si="5"/>
        <v>0.94295314683209508</v>
      </c>
      <c r="O16" s="263">
        <f t="shared" si="5"/>
        <v>0.94836288003728808</v>
      </c>
      <c r="P16" s="263">
        <f t="shared" si="5"/>
        <v>0.9520206073991988</v>
      </c>
      <c r="Q16" s="263">
        <f t="shared" si="5"/>
        <v>0.95442540997872871</v>
      </c>
      <c r="R16" s="263">
        <f t="shared" si="5"/>
        <v>0.9563327934235798</v>
      </c>
      <c r="S16" s="263">
        <f t="shared" si="5"/>
        <v>0.95723031095843558</v>
      </c>
      <c r="T16" s="263">
        <f t="shared" si="5"/>
        <v>0.9577171499442757</v>
      </c>
      <c r="U16" s="263">
        <f t="shared" si="5"/>
        <v>0.95781571734781734</v>
      </c>
      <c r="W16" s="263">
        <f t="shared" ref="W16:AA18" si="6">W8/W$10</f>
        <v>0.88267163229806045</v>
      </c>
      <c r="X16" s="263">
        <f t="shared" si="6"/>
        <v>0.89718808176421005</v>
      </c>
      <c r="Y16" s="263">
        <f t="shared" si="6"/>
        <v>0.9285339397172907</v>
      </c>
      <c r="Z16" s="263">
        <f t="shared" si="6"/>
        <v>0.94995974703267494</v>
      </c>
      <c r="AA16" s="263">
        <f t="shared" si="6"/>
        <v>0.95730073871987464</v>
      </c>
    </row>
    <row r="17" spans="1:29" s="82" customFormat="1" ht="15" customHeight="1" x14ac:dyDescent="0.15">
      <c r="A17" s="80" t="s">
        <v>830</v>
      </c>
      <c r="B17" s="263">
        <f t="shared" ref="B17:U17" si="7">B9/B$10</f>
        <v>0.13365842420519122</v>
      </c>
      <c r="C17" s="263">
        <f t="shared" si="7"/>
        <v>0.12543275632490014</v>
      </c>
      <c r="D17" s="263">
        <f t="shared" si="7"/>
        <v>0.12288353001539251</v>
      </c>
      <c r="E17" s="263">
        <f t="shared" si="7"/>
        <v>9.5370064325849838E-2</v>
      </c>
      <c r="F17" s="263">
        <f t="shared" si="7"/>
        <v>0.11234170033135128</v>
      </c>
      <c r="G17" s="263">
        <f t="shared" si="7"/>
        <v>0.12080953297819995</v>
      </c>
      <c r="H17" s="263">
        <f t="shared" si="7"/>
        <v>0.1015857979861769</v>
      </c>
      <c r="I17" s="263">
        <f t="shared" si="7"/>
        <v>8.5325935385383175E-2</v>
      </c>
      <c r="J17" s="263">
        <f t="shared" si="7"/>
        <v>7.8037125528395521E-2</v>
      </c>
      <c r="K17" s="263">
        <f t="shared" si="7"/>
        <v>7.4806954822751792E-2</v>
      </c>
      <c r="L17" s="263">
        <f t="shared" si="7"/>
        <v>6.9303681601421266E-2</v>
      </c>
      <c r="M17" s="263">
        <f t="shared" si="7"/>
        <v>6.6259959398292323E-2</v>
      </c>
      <c r="N17" s="263">
        <f t="shared" si="7"/>
        <v>5.7046853167904948E-2</v>
      </c>
      <c r="O17" s="263">
        <f t="shared" si="7"/>
        <v>5.1637119962712009E-2</v>
      </c>
      <c r="P17" s="263">
        <f t="shared" si="7"/>
        <v>4.7979392600801113E-2</v>
      </c>
      <c r="Q17" s="263">
        <f t="shared" si="7"/>
        <v>4.5574590021271205E-2</v>
      </c>
      <c r="R17" s="263">
        <f t="shared" si="7"/>
        <v>4.3667206576420162E-2</v>
      </c>
      <c r="S17" s="263">
        <f t="shared" si="7"/>
        <v>4.2769689041564446E-2</v>
      </c>
      <c r="T17" s="263">
        <f t="shared" si="7"/>
        <v>4.2282850055724297E-2</v>
      </c>
      <c r="U17" s="263">
        <f t="shared" si="7"/>
        <v>4.2184282652182686E-2</v>
      </c>
      <c r="W17" s="263">
        <f t="shared" si="6"/>
        <v>0.11732836770193951</v>
      </c>
      <c r="X17" s="263">
        <f t="shared" si="6"/>
        <v>0.1028119182357899</v>
      </c>
      <c r="Y17" s="263">
        <f t="shared" si="6"/>
        <v>7.1466060282709368E-2</v>
      </c>
      <c r="Z17" s="263">
        <f t="shared" si="6"/>
        <v>5.004025296732497E-2</v>
      </c>
      <c r="AA17" s="263">
        <f t="shared" si="6"/>
        <v>4.2699261280125377E-2</v>
      </c>
    </row>
    <row r="18" spans="1:29" s="82" customFormat="1" ht="13.5" customHeight="1" x14ac:dyDescent="0.15">
      <c r="A18" s="80" t="s">
        <v>831</v>
      </c>
      <c r="B18" s="263">
        <f t="shared" ref="B18:U18" si="8">B10/B$10</f>
        <v>1</v>
      </c>
      <c r="C18" s="263">
        <f t="shared" si="8"/>
        <v>1</v>
      </c>
      <c r="D18" s="263">
        <f t="shared" si="8"/>
        <v>1</v>
      </c>
      <c r="E18" s="263">
        <f t="shared" si="8"/>
        <v>1</v>
      </c>
      <c r="F18" s="263">
        <f t="shared" si="8"/>
        <v>1</v>
      </c>
      <c r="G18" s="263">
        <f t="shared" si="8"/>
        <v>1</v>
      </c>
      <c r="H18" s="263">
        <f t="shared" si="8"/>
        <v>1</v>
      </c>
      <c r="I18" s="263">
        <f t="shared" si="8"/>
        <v>1</v>
      </c>
      <c r="J18" s="263">
        <f t="shared" si="8"/>
        <v>1</v>
      </c>
      <c r="K18" s="263">
        <f t="shared" si="8"/>
        <v>1</v>
      </c>
      <c r="L18" s="263">
        <f t="shared" si="8"/>
        <v>1</v>
      </c>
      <c r="M18" s="263">
        <f t="shared" si="8"/>
        <v>1</v>
      </c>
      <c r="N18" s="263">
        <f t="shared" si="8"/>
        <v>1</v>
      </c>
      <c r="O18" s="263">
        <f t="shared" si="8"/>
        <v>1</v>
      </c>
      <c r="P18" s="263">
        <f t="shared" si="8"/>
        <v>1</v>
      </c>
      <c r="Q18" s="263">
        <f t="shared" si="8"/>
        <v>1</v>
      </c>
      <c r="R18" s="263">
        <f t="shared" si="8"/>
        <v>1</v>
      </c>
      <c r="S18" s="263">
        <f t="shared" si="8"/>
        <v>1</v>
      </c>
      <c r="T18" s="263">
        <f t="shared" si="8"/>
        <v>1</v>
      </c>
      <c r="U18" s="263">
        <f t="shared" si="8"/>
        <v>1</v>
      </c>
      <c r="W18" s="263">
        <f t="shared" si="6"/>
        <v>1</v>
      </c>
      <c r="X18" s="263">
        <f t="shared" si="6"/>
        <v>1</v>
      </c>
      <c r="Y18" s="263">
        <f t="shared" si="6"/>
        <v>1</v>
      </c>
      <c r="Z18" s="263">
        <f t="shared" si="6"/>
        <v>1</v>
      </c>
      <c r="AA18" s="263">
        <f t="shared" si="6"/>
        <v>1</v>
      </c>
    </row>
    <row r="20" spans="1:29" ht="15" customHeight="1" x14ac:dyDescent="0.15">
      <c r="A20" s="59" t="s">
        <v>832</v>
      </c>
      <c r="B20" s="114"/>
      <c r="C20" s="114"/>
      <c r="D20" s="114"/>
      <c r="E20" s="114"/>
      <c r="F20" s="114"/>
      <c r="G20" s="114"/>
      <c r="H20" s="114"/>
      <c r="I20" s="114"/>
      <c r="J20" s="114"/>
      <c r="K20" s="114"/>
      <c r="L20" s="114"/>
      <c r="M20" s="114"/>
      <c r="N20" s="114"/>
      <c r="O20" s="114"/>
      <c r="P20" s="114"/>
      <c r="Q20" s="114"/>
      <c r="R20" s="114"/>
      <c r="S20" s="114"/>
      <c r="T20" s="114"/>
      <c r="U20" s="114"/>
      <c r="V20" s="211"/>
      <c r="W20" s="114"/>
      <c r="X20" s="114"/>
      <c r="Y20" s="114"/>
      <c r="Z20" s="114"/>
      <c r="AA20" s="114"/>
      <c r="AB20" s="268" t="s">
        <v>833</v>
      </c>
      <c r="AC20" s="114"/>
    </row>
    <row r="21" spans="1:29" ht="13.5" customHeight="1" x14ac:dyDescent="0.15">
      <c r="A21" s="57" t="s">
        <v>75</v>
      </c>
      <c r="B21" s="245">
        <f>Raw_Data!B67</f>
        <v>22563</v>
      </c>
      <c r="C21" s="245">
        <f>Raw_Data!C67</f>
        <v>26272</v>
      </c>
      <c r="D21" s="245">
        <f>Raw_Data!D67</f>
        <v>30771</v>
      </c>
      <c r="E21" s="245">
        <f>Raw_Data!E67</f>
        <v>35580</v>
      </c>
      <c r="F21" s="245">
        <v>39112</v>
      </c>
      <c r="G21" s="245">
        <f>Raw_Data!G67</f>
        <v>41096</v>
      </c>
      <c r="H21" s="245">
        <f>Raw_Data!H67</f>
        <v>51215</v>
      </c>
      <c r="I21" s="245">
        <f>Raw_Data!I67</f>
        <v>62314</v>
      </c>
      <c r="W21" s="77">
        <f t="shared" ref="W21:W26" si="9">SUM(B21:E21)</f>
        <v>115186</v>
      </c>
      <c r="X21" s="77">
        <f t="shared" ref="X21:X26" si="10">SUM(F21:I21)</f>
        <v>193737</v>
      </c>
    </row>
    <row r="22" spans="1:29" ht="13.5" customHeight="1" x14ac:dyDescent="0.15">
      <c r="A22" s="57" t="s">
        <v>834</v>
      </c>
      <c r="B22" s="245">
        <f>Raw_Data!B68</f>
        <v>2647</v>
      </c>
      <c r="C22" s="245">
        <f>Raw_Data!C68</f>
        <v>2880</v>
      </c>
      <c r="D22" s="245">
        <f>Raw_Data!D68</f>
        <v>3279</v>
      </c>
      <c r="E22" s="245">
        <f>Raw_Data!E68</f>
        <v>2544</v>
      </c>
      <c r="F22" s="245">
        <f>Raw_Data!F68</f>
        <v>3763</v>
      </c>
      <c r="G22" s="245">
        <f>Raw_Data!G68</f>
        <v>4287</v>
      </c>
      <c r="H22" s="245">
        <f>Raw_Data!H68</f>
        <v>4265</v>
      </c>
      <c r="I22" s="245">
        <f>Raw_Data!I68</f>
        <v>3727</v>
      </c>
      <c r="W22" s="77">
        <f t="shared" si="9"/>
        <v>11350</v>
      </c>
      <c r="X22" s="77">
        <f t="shared" si="10"/>
        <v>16042</v>
      </c>
    </row>
    <row r="23" spans="1:29" ht="15" customHeight="1" x14ac:dyDescent="0.15">
      <c r="A23" s="57" t="s">
        <v>835</v>
      </c>
      <c r="B23" s="245">
        <f>Raw_Data!B69</f>
        <v>427</v>
      </c>
      <c r="C23" s="245">
        <f>Raw_Data!C69</f>
        <v>454</v>
      </c>
      <c r="D23" s="245">
        <f>Raw_Data!D69</f>
        <v>486</v>
      </c>
      <c r="E23" s="245">
        <f>Raw_Data!E69</f>
        <v>511</v>
      </c>
      <c r="F23" s="245">
        <f>Raw_Data!F69</f>
        <v>509</v>
      </c>
      <c r="G23" s="245">
        <f>Raw_Data!G69</f>
        <v>601</v>
      </c>
      <c r="H23" s="245">
        <f>Raw_Data!H69</f>
        <v>760</v>
      </c>
      <c r="I23" s="245">
        <f>Raw_Data!I69</f>
        <v>1321</v>
      </c>
      <c r="J23" s="77"/>
      <c r="K23" s="77"/>
      <c r="L23" s="77"/>
      <c r="M23" s="77"/>
      <c r="N23" s="77"/>
      <c r="O23" s="77"/>
      <c r="P23" s="77"/>
      <c r="Q23" s="77"/>
      <c r="R23" s="77"/>
      <c r="S23" s="77"/>
      <c r="T23" s="77"/>
      <c r="U23" s="77"/>
      <c r="W23" s="77">
        <f t="shared" si="9"/>
        <v>1878</v>
      </c>
      <c r="X23" s="77">
        <f t="shared" si="10"/>
        <v>3191</v>
      </c>
      <c r="Y23" s="77"/>
      <c r="Z23" s="77"/>
      <c r="AA23" s="77"/>
    </row>
    <row r="24" spans="1:29" ht="15" customHeight="1" x14ac:dyDescent="0.15">
      <c r="A24" s="57" t="s">
        <v>836</v>
      </c>
      <c r="B24" s="245">
        <f>Raw_Data!B70</f>
        <v>329</v>
      </c>
      <c r="C24" s="245">
        <f>Raw_Data!C70</f>
        <v>346</v>
      </c>
      <c r="D24" s="245">
        <f>Raw_Data!D70</f>
        <v>449</v>
      </c>
      <c r="E24" s="245">
        <f>Raw_Data!E70</f>
        <v>570</v>
      </c>
      <c r="F24" s="245">
        <f>Raw_Data!F70</f>
        <v>567</v>
      </c>
      <c r="G24" s="245">
        <f>Raw_Data!G70</f>
        <v>586</v>
      </c>
      <c r="H24" s="245">
        <f>Raw_Data!H70</f>
        <v>592</v>
      </c>
      <c r="I24" s="245">
        <f>Raw_Data!I70</f>
        <v>604</v>
      </c>
      <c r="J24" s="245"/>
      <c r="K24" s="245"/>
      <c r="L24" s="77"/>
      <c r="M24" s="77"/>
      <c r="N24" s="77"/>
      <c r="O24" s="77"/>
      <c r="P24" s="77"/>
      <c r="Q24" s="77"/>
      <c r="R24" s="77"/>
      <c r="S24" s="77"/>
      <c r="T24" s="77"/>
      <c r="U24" s="77"/>
      <c r="W24" s="77">
        <f t="shared" si="9"/>
        <v>1694</v>
      </c>
      <c r="X24" s="77">
        <f t="shared" si="10"/>
        <v>2349</v>
      </c>
      <c r="Y24" s="77"/>
      <c r="Z24" s="77"/>
      <c r="AA24" s="77"/>
    </row>
    <row r="25" spans="1:29" s="259" customFormat="1" ht="15" customHeight="1" x14ac:dyDescent="0.15">
      <c r="A25" s="256" t="s">
        <v>837</v>
      </c>
      <c r="B25" s="257">
        <f>Raw_Data!B71</f>
        <v>78</v>
      </c>
      <c r="C25" s="257">
        <f>Raw_Data!C71</f>
        <v>88</v>
      </c>
      <c r="D25" s="257">
        <f>Raw_Data!D71</f>
        <v>97</v>
      </c>
      <c r="E25" s="257">
        <f>Raw_Data!E71</f>
        <v>126</v>
      </c>
      <c r="F25" s="257">
        <f>Raw_Data!F71</f>
        <v>111</v>
      </c>
      <c r="G25" s="257">
        <f>Raw_Data!G71</f>
        <v>173</v>
      </c>
      <c r="H25" s="257">
        <f>Raw_Data!H71</f>
        <v>174</v>
      </c>
      <c r="I25" s="257">
        <f>Raw_Data!I71</f>
        <v>161</v>
      </c>
      <c r="J25" s="257"/>
      <c r="K25" s="257"/>
      <c r="L25" s="258"/>
      <c r="M25" s="258"/>
      <c r="N25" s="258"/>
      <c r="O25" s="258"/>
      <c r="P25" s="258"/>
      <c r="Q25" s="258"/>
      <c r="R25" s="258"/>
      <c r="S25" s="258"/>
      <c r="T25" s="258"/>
      <c r="U25" s="258"/>
      <c r="W25" s="258">
        <f t="shared" si="9"/>
        <v>389</v>
      </c>
      <c r="X25" s="258">
        <f t="shared" si="10"/>
        <v>619</v>
      </c>
      <c r="Y25" s="258"/>
      <c r="Z25" s="258"/>
      <c r="AA25" s="258"/>
    </row>
    <row r="26" spans="1:29" s="237" customFormat="1" ht="15" customHeight="1" x14ac:dyDescent="0.15">
      <c r="A26" s="56" t="s">
        <v>77</v>
      </c>
      <c r="B26" s="269">
        <f t="shared" ref="B26:I26" si="11">SUM(B21:B25)</f>
        <v>26044</v>
      </c>
      <c r="C26" s="269">
        <f t="shared" si="11"/>
        <v>30040</v>
      </c>
      <c r="D26" s="269">
        <f t="shared" si="11"/>
        <v>35082</v>
      </c>
      <c r="E26" s="269">
        <f t="shared" si="11"/>
        <v>39331</v>
      </c>
      <c r="F26" s="269">
        <f t="shared" si="11"/>
        <v>44062</v>
      </c>
      <c r="G26" s="269">
        <f t="shared" si="11"/>
        <v>46743</v>
      </c>
      <c r="H26" s="269">
        <f t="shared" si="11"/>
        <v>57006</v>
      </c>
      <c r="I26" s="269">
        <f t="shared" si="11"/>
        <v>68127</v>
      </c>
      <c r="W26" s="260">
        <f t="shared" si="9"/>
        <v>130497</v>
      </c>
      <c r="X26" s="260">
        <f t="shared" si="10"/>
        <v>215938</v>
      </c>
    </row>
    <row r="27" spans="1:29" ht="13.5" customHeight="1" x14ac:dyDescent="0.15">
      <c r="A27" s="104"/>
    </row>
    <row r="28" spans="1:29" s="82" customFormat="1" ht="15" customHeight="1" x14ac:dyDescent="0.15">
      <c r="A28" s="80" t="s">
        <v>826</v>
      </c>
      <c r="F28" s="263">
        <f t="shared" ref="F28:I33" si="12">IF(B21=0,0,(F21-B21)/B21)</f>
        <v>0.73345743030625365</v>
      </c>
      <c r="G28" s="263">
        <f t="shared" si="12"/>
        <v>0.56425091352009749</v>
      </c>
      <c r="H28" s="263">
        <f t="shared" si="12"/>
        <v>0.66439179747164534</v>
      </c>
      <c r="I28" s="263">
        <f t="shared" si="12"/>
        <v>0.75137717818999439</v>
      </c>
      <c r="J28" s="263"/>
      <c r="K28" s="263"/>
      <c r="L28" s="263"/>
      <c r="M28" s="263"/>
      <c r="N28" s="263"/>
      <c r="O28" s="263"/>
      <c r="P28" s="263"/>
      <c r="Q28" s="263"/>
      <c r="R28" s="263"/>
      <c r="S28" s="263"/>
      <c r="T28" s="263"/>
      <c r="U28" s="263"/>
      <c r="X28" s="263"/>
      <c r="Y28" s="263"/>
      <c r="Z28" s="263"/>
      <c r="AA28" s="263"/>
      <c r="AB28" s="80"/>
    </row>
    <row r="29" spans="1:29" s="82" customFormat="1" ht="15" customHeight="1" x14ac:dyDescent="0.15">
      <c r="A29" s="80" t="s">
        <v>838</v>
      </c>
      <c r="F29" s="263">
        <f t="shared" si="12"/>
        <v>0.42160936909709107</v>
      </c>
      <c r="G29" s="263">
        <f t="shared" si="12"/>
        <v>0.48854166666666665</v>
      </c>
      <c r="H29" s="263">
        <f t="shared" si="12"/>
        <v>0.30070143336383043</v>
      </c>
      <c r="I29" s="263">
        <f t="shared" si="12"/>
        <v>0.46501572327044027</v>
      </c>
      <c r="J29" s="263"/>
      <c r="K29" s="263"/>
      <c r="L29" s="263"/>
      <c r="M29" s="263"/>
      <c r="N29" s="263"/>
      <c r="O29" s="263"/>
      <c r="P29" s="263"/>
      <c r="Q29" s="263"/>
      <c r="R29" s="263"/>
      <c r="S29" s="263"/>
      <c r="T29" s="263"/>
      <c r="U29" s="263"/>
      <c r="X29" s="263"/>
      <c r="Y29" s="263"/>
      <c r="Z29" s="263"/>
      <c r="AA29" s="263"/>
      <c r="AB29" s="80"/>
    </row>
    <row r="30" spans="1:29" s="82" customFormat="1" ht="15" customHeight="1" x14ac:dyDescent="0.15">
      <c r="A30" s="80" t="s">
        <v>839</v>
      </c>
      <c r="F30" s="263">
        <f t="shared" si="12"/>
        <v>0.19203747072599531</v>
      </c>
      <c r="G30" s="263">
        <f t="shared" si="12"/>
        <v>0.32378854625550663</v>
      </c>
      <c r="H30" s="263">
        <f t="shared" si="12"/>
        <v>0.56378600823045266</v>
      </c>
      <c r="I30" s="263">
        <f t="shared" si="12"/>
        <v>1.5851272015655578</v>
      </c>
      <c r="J30" s="263"/>
      <c r="K30" s="263"/>
      <c r="L30" s="263"/>
      <c r="M30" s="263"/>
      <c r="N30" s="263"/>
      <c r="O30" s="263"/>
      <c r="P30" s="263"/>
      <c r="Q30" s="263"/>
      <c r="R30" s="263"/>
      <c r="S30" s="263"/>
      <c r="T30" s="263"/>
      <c r="U30" s="263"/>
      <c r="X30" s="263"/>
      <c r="Y30" s="263"/>
      <c r="Z30" s="263"/>
      <c r="AA30" s="263"/>
    </row>
    <row r="31" spans="1:29" s="82" customFormat="1" ht="15" customHeight="1" x14ac:dyDescent="0.15">
      <c r="A31" s="80" t="s">
        <v>840</v>
      </c>
      <c r="F31" s="263">
        <f t="shared" si="12"/>
        <v>0.72340425531914898</v>
      </c>
      <c r="G31" s="263">
        <f t="shared" si="12"/>
        <v>0.69364161849710981</v>
      </c>
      <c r="H31" s="263">
        <f t="shared" si="12"/>
        <v>0.31848552338530067</v>
      </c>
      <c r="I31" s="263">
        <f t="shared" si="12"/>
        <v>5.9649122807017542E-2</v>
      </c>
      <c r="J31" s="263"/>
      <c r="K31" s="263"/>
      <c r="L31" s="263"/>
      <c r="M31" s="263"/>
      <c r="N31" s="263"/>
      <c r="O31" s="263"/>
      <c r="P31" s="263"/>
      <c r="Q31" s="263"/>
      <c r="R31" s="263"/>
      <c r="S31" s="263"/>
      <c r="T31" s="263"/>
      <c r="U31" s="263"/>
      <c r="X31" s="263"/>
      <c r="Y31" s="263"/>
      <c r="Z31" s="263"/>
      <c r="AA31" s="263"/>
    </row>
    <row r="32" spans="1:29" s="82" customFormat="1" ht="15" customHeight="1" x14ac:dyDescent="0.15">
      <c r="A32" s="80" t="s">
        <v>841</v>
      </c>
      <c r="F32" s="263">
        <f t="shared" si="12"/>
        <v>0.42307692307692307</v>
      </c>
      <c r="G32" s="263">
        <f t="shared" si="12"/>
        <v>0.96590909090909094</v>
      </c>
      <c r="H32" s="263">
        <f t="shared" si="12"/>
        <v>0.79381443298969068</v>
      </c>
      <c r="I32" s="263">
        <f t="shared" si="12"/>
        <v>0.27777777777777779</v>
      </c>
      <c r="J32" s="263"/>
      <c r="K32" s="263"/>
      <c r="L32" s="263"/>
      <c r="M32" s="263"/>
      <c r="N32" s="263"/>
      <c r="O32" s="263"/>
      <c r="P32" s="263"/>
      <c r="Q32" s="263"/>
      <c r="R32" s="263"/>
      <c r="S32" s="263"/>
      <c r="T32" s="263"/>
      <c r="U32" s="263"/>
      <c r="X32" s="263"/>
      <c r="Y32" s="263"/>
      <c r="Z32" s="263"/>
      <c r="AA32" s="263"/>
    </row>
    <row r="33" spans="1:29" s="82" customFormat="1" ht="13.5" customHeight="1" x14ac:dyDescent="0.15">
      <c r="A33" s="80" t="s">
        <v>828</v>
      </c>
      <c r="B33" s="86"/>
      <c r="C33" s="86"/>
      <c r="D33" s="86"/>
      <c r="E33" s="86"/>
      <c r="F33" s="263">
        <f t="shared" si="12"/>
        <v>0.69182921210259563</v>
      </c>
      <c r="G33" s="263">
        <f t="shared" si="12"/>
        <v>0.5560252996005326</v>
      </c>
      <c r="H33" s="263">
        <f t="shared" si="12"/>
        <v>0.62493586454592098</v>
      </c>
      <c r="I33" s="263">
        <f t="shared" si="12"/>
        <v>0.7321451272533116</v>
      </c>
      <c r="W33" s="86"/>
      <c r="X33" s="86"/>
    </row>
    <row r="34" spans="1:29" s="82" customFormat="1" ht="13.5" customHeight="1" x14ac:dyDescent="0.15"/>
    <row r="35" spans="1:29" s="82" customFormat="1" ht="15" customHeight="1" x14ac:dyDescent="0.15">
      <c r="A35" s="80" t="s">
        <v>829</v>
      </c>
      <c r="B35" s="263">
        <f t="shared" ref="B35:I40" si="13">IF(B$26=0,0,B21/B$26)</f>
        <v>0.86634157579480875</v>
      </c>
      <c r="C35" s="263">
        <f t="shared" si="13"/>
        <v>0.87456724367509986</v>
      </c>
      <c r="D35" s="263">
        <f t="shared" si="13"/>
        <v>0.87711646998460746</v>
      </c>
      <c r="E35" s="263">
        <f t="shared" si="13"/>
        <v>0.90462993567415018</v>
      </c>
      <c r="F35" s="263">
        <f t="shared" si="13"/>
        <v>0.88765829966864873</v>
      </c>
      <c r="G35" s="263">
        <f t="shared" si="13"/>
        <v>0.87919046702180004</v>
      </c>
      <c r="H35" s="263">
        <f t="shared" si="13"/>
        <v>0.89841420201382316</v>
      </c>
      <c r="I35" s="263">
        <f t="shared" si="13"/>
        <v>0.91467406461461687</v>
      </c>
      <c r="J35" s="263"/>
      <c r="K35" s="263"/>
      <c r="L35" s="263"/>
      <c r="M35" s="263"/>
      <c r="N35" s="263"/>
      <c r="O35" s="263"/>
      <c r="P35" s="263"/>
      <c r="Q35" s="263"/>
      <c r="R35" s="263"/>
      <c r="S35" s="263"/>
      <c r="T35" s="263"/>
      <c r="U35" s="263"/>
      <c r="W35" s="263"/>
      <c r="X35" s="263"/>
      <c r="Y35" s="263"/>
      <c r="Z35" s="263"/>
      <c r="AA35" s="263"/>
    </row>
    <row r="36" spans="1:29" s="82" customFormat="1" ht="15" customHeight="1" x14ac:dyDescent="0.15">
      <c r="A36" s="80" t="s">
        <v>842</v>
      </c>
      <c r="B36" s="263">
        <f t="shared" si="13"/>
        <v>0.10163569344186761</v>
      </c>
      <c r="C36" s="263">
        <f t="shared" si="13"/>
        <v>9.5872170439414109E-2</v>
      </c>
      <c r="D36" s="263">
        <f t="shared" si="13"/>
        <v>9.3466735077817678E-2</v>
      </c>
      <c r="E36" s="263">
        <f t="shared" si="13"/>
        <v>6.4681803157814452E-2</v>
      </c>
      <c r="F36" s="263">
        <f t="shared" si="13"/>
        <v>8.5402387544823211E-2</v>
      </c>
      <c r="G36" s="263">
        <f t="shared" si="13"/>
        <v>9.1714267376933445E-2</v>
      </c>
      <c r="H36" s="263">
        <f t="shared" si="13"/>
        <v>7.4816685962881102E-2</v>
      </c>
      <c r="I36" s="263">
        <f t="shared" si="13"/>
        <v>5.4706650813921058E-2</v>
      </c>
      <c r="J36" s="263"/>
      <c r="K36" s="263"/>
      <c r="L36" s="263"/>
      <c r="M36" s="263"/>
      <c r="N36" s="263"/>
      <c r="O36" s="263"/>
      <c r="P36" s="263"/>
      <c r="Q36" s="263"/>
      <c r="R36" s="263"/>
      <c r="S36" s="263"/>
      <c r="T36" s="263"/>
      <c r="U36" s="263"/>
      <c r="W36" s="263"/>
      <c r="X36" s="263"/>
      <c r="Y36" s="263"/>
      <c r="Z36" s="263"/>
      <c r="AA36" s="263"/>
    </row>
    <row r="37" spans="1:29" s="82" customFormat="1" ht="15" customHeight="1" x14ac:dyDescent="0.15">
      <c r="A37" s="80" t="s">
        <v>843</v>
      </c>
      <c r="B37" s="263">
        <f t="shared" si="13"/>
        <v>1.6395330978344339E-2</v>
      </c>
      <c r="C37" s="263">
        <f t="shared" si="13"/>
        <v>1.511318242343542E-2</v>
      </c>
      <c r="D37" s="263">
        <f t="shared" si="13"/>
        <v>1.3853258081067214E-2</v>
      </c>
      <c r="E37" s="263">
        <f t="shared" si="13"/>
        <v>1.2992296153161628E-2</v>
      </c>
      <c r="F37" s="263">
        <f t="shared" si="13"/>
        <v>1.1551904135082385E-2</v>
      </c>
      <c r="G37" s="263">
        <f t="shared" si="13"/>
        <v>1.2857540166442034E-2</v>
      </c>
      <c r="H37" s="263">
        <f t="shared" si="13"/>
        <v>1.3331929972283619E-2</v>
      </c>
      <c r="I37" s="263">
        <f t="shared" si="13"/>
        <v>1.9390256432838669E-2</v>
      </c>
      <c r="J37" s="263"/>
      <c r="K37" s="263"/>
      <c r="L37" s="263"/>
      <c r="M37" s="263"/>
      <c r="N37" s="263"/>
      <c r="O37" s="263"/>
      <c r="P37" s="263"/>
      <c r="Q37" s="263"/>
      <c r="R37" s="263"/>
      <c r="S37" s="263"/>
      <c r="T37" s="263"/>
      <c r="U37" s="263"/>
      <c r="W37" s="263"/>
      <c r="X37" s="263"/>
      <c r="Y37" s="263"/>
      <c r="Z37" s="263"/>
      <c r="AA37" s="263"/>
    </row>
    <row r="38" spans="1:29" s="82" customFormat="1" ht="15" customHeight="1" x14ac:dyDescent="0.15">
      <c r="A38" s="80" t="s">
        <v>844</v>
      </c>
      <c r="B38" s="263">
        <f t="shared" si="13"/>
        <v>1.2632468130855475E-2</v>
      </c>
      <c r="C38" s="263">
        <f t="shared" si="13"/>
        <v>1.1517976031957391E-2</v>
      </c>
      <c r="D38" s="263">
        <f t="shared" si="13"/>
        <v>1.2798586169545635E-2</v>
      </c>
      <c r="E38" s="263">
        <f t="shared" si="13"/>
        <v>1.4492385141491444E-2</v>
      </c>
      <c r="F38" s="263">
        <f t="shared" si="13"/>
        <v>1.2868231128863874E-2</v>
      </c>
      <c r="G38" s="263">
        <f t="shared" si="13"/>
        <v>1.2536636501722183E-2</v>
      </c>
      <c r="H38" s="263">
        <f t="shared" si="13"/>
        <v>1.0384871767884083E-2</v>
      </c>
      <c r="I38" s="263">
        <f t="shared" si="13"/>
        <v>8.8657947656582553E-3</v>
      </c>
      <c r="J38" s="263"/>
      <c r="K38" s="263"/>
      <c r="L38" s="263"/>
      <c r="M38" s="263"/>
      <c r="N38" s="263"/>
      <c r="O38" s="263"/>
      <c r="P38" s="263"/>
      <c r="Q38" s="263"/>
      <c r="R38" s="263"/>
      <c r="S38" s="263"/>
      <c r="T38" s="263"/>
      <c r="U38" s="263"/>
      <c r="W38" s="263"/>
      <c r="X38" s="263"/>
      <c r="Y38" s="263"/>
      <c r="Z38" s="263"/>
      <c r="AA38" s="263"/>
    </row>
    <row r="39" spans="1:29" s="82" customFormat="1" ht="15" customHeight="1" x14ac:dyDescent="0.15">
      <c r="A39" s="80" t="s">
        <v>845</v>
      </c>
      <c r="B39" s="263">
        <f t="shared" si="13"/>
        <v>2.9949316541237904E-3</v>
      </c>
      <c r="C39" s="263">
        <f t="shared" si="13"/>
        <v>2.9294274300932089E-3</v>
      </c>
      <c r="D39" s="263">
        <f t="shared" si="13"/>
        <v>2.7649506869619747E-3</v>
      </c>
      <c r="E39" s="263">
        <f t="shared" si="13"/>
        <v>3.2035798733823194E-3</v>
      </c>
      <c r="F39" s="263">
        <f t="shared" si="13"/>
        <v>2.5191775225818164E-3</v>
      </c>
      <c r="G39" s="263">
        <f t="shared" si="13"/>
        <v>3.7010889331022829E-3</v>
      </c>
      <c r="H39" s="263">
        <f t="shared" si="13"/>
        <v>3.0523102831280916E-3</v>
      </c>
      <c r="I39" s="263">
        <f t="shared" si="13"/>
        <v>2.3632333729651975E-3</v>
      </c>
      <c r="J39" s="263"/>
      <c r="K39" s="263"/>
      <c r="L39" s="263"/>
      <c r="M39" s="263"/>
      <c r="N39" s="263"/>
      <c r="O39" s="263"/>
      <c r="P39" s="263"/>
      <c r="Q39" s="263"/>
      <c r="R39" s="263"/>
      <c r="S39" s="263"/>
      <c r="T39" s="263"/>
      <c r="U39" s="263"/>
      <c r="W39" s="263"/>
      <c r="X39" s="263"/>
      <c r="Y39" s="263"/>
      <c r="Z39" s="263"/>
      <c r="AA39" s="263"/>
    </row>
    <row r="40" spans="1:29" s="82" customFormat="1" ht="13.5" customHeight="1" x14ac:dyDescent="0.15">
      <c r="A40" s="80" t="s">
        <v>831</v>
      </c>
      <c r="B40" s="263">
        <f t="shared" si="13"/>
        <v>1</v>
      </c>
      <c r="C40" s="263">
        <f t="shared" si="13"/>
        <v>1</v>
      </c>
      <c r="D40" s="263">
        <f t="shared" si="13"/>
        <v>1</v>
      </c>
      <c r="E40" s="263">
        <f t="shared" si="13"/>
        <v>1</v>
      </c>
      <c r="F40" s="263">
        <f t="shared" si="13"/>
        <v>1</v>
      </c>
      <c r="G40" s="263">
        <f t="shared" si="13"/>
        <v>1</v>
      </c>
      <c r="H40" s="263">
        <f t="shared" si="13"/>
        <v>1</v>
      </c>
      <c r="I40" s="263">
        <f t="shared" si="13"/>
        <v>1</v>
      </c>
      <c r="W40" s="86"/>
      <c r="X40" s="86"/>
    </row>
    <row r="43" spans="1:29" ht="15" customHeight="1" x14ac:dyDescent="0.15">
      <c r="A43" s="59" t="s">
        <v>846</v>
      </c>
      <c r="B43" s="114"/>
      <c r="C43" s="114"/>
      <c r="D43" s="114"/>
      <c r="E43" s="114"/>
      <c r="F43" s="114"/>
      <c r="G43" s="114"/>
      <c r="H43" s="114"/>
      <c r="I43" s="114"/>
      <c r="J43" s="114"/>
      <c r="K43" s="114"/>
      <c r="L43" s="114"/>
      <c r="M43" s="114"/>
      <c r="N43" s="114"/>
      <c r="O43" s="114"/>
      <c r="P43" s="114"/>
      <c r="Q43" s="114"/>
      <c r="R43" s="114"/>
      <c r="S43" s="114"/>
      <c r="T43" s="114"/>
      <c r="U43" s="114"/>
      <c r="V43" s="211"/>
      <c r="W43" s="114"/>
      <c r="X43" s="114"/>
      <c r="Y43" s="114"/>
      <c r="Z43" s="114"/>
      <c r="AA43" s="114"/>
      <c r="AB43" s="114"/>
      <c r="AC43" s="114"/>
    </row>
    <row r="44" spans="1:29" ht="15" customHeight="1" x14ac:dyDescent="0.15">
      <c r="A44" s="57" t="s">
        <v>847</v>
      </c>
      <c r="B44" s="245">
        <f>Raw_Data!B83</f>
        <v>19392</v>
      </c>
      <c r="C44" s="245">
        <f>Raw_Data!C83</f>
        <v>22604</v>
      </c>
      <c r="D44" s="245">
        <f>Raw_Data!D83</f>
        <v>27644</v>
      </c>
      <c r="E44" s="245">
        <f>Raw_Data!E83</f>
        <v>32556</v>
      </c>
      <c r="F44" s="245">
        <f>Raw_Data!F83</f>
        <v>34155</v>
      </c>
      <c r="G44" s="245">
        <v>33844</v>
      </c>
      <c r="H44" s="245">
        <f>Raw_Data!H83</f>
        <v>43028</v>
      </c>
      <c r="I44" s="245">
        <f>Raw_Data!I83</f>
        <v>51334</v>
      </c>
      <c r="J44" s="77">
        <f>J8-J45</f>
        <v>60446</v>
      </c>
      <c r="K44" s="77">
        <f>K8-K45</f>
        <v>71559</v>
      </c>
      <c r="L44" s="77">
        <f>H44/Assumptions!I13*(1+Assumptions!M17)*Assumptions!M13</f>
        <v>82284.380659999995</v>
      </c>
      <c r="M44" s="77">
        <f>I44/Assumptions!J13*(1+Assumptions!N17)*Assumptions!N13</f>
        <v>90142.093328000003</v>
      </c>
      <c r="N44" s="77">
        <f>$Y$44*(1+Assumptions!$AA$17)*Assumptions!O76</f>
        <v>107960.40159592511</v>
      </c>
      <c r="O44" s="77">
        <f>$Y$44*(1+Assumptions!$AA$17)*Assumptions!P76</f>
        <v>124402.91284313117</v>
      </c>
      <c r="P44" s="77">
        <f>$Y$44*(1+Assumptions!$AA$17)*Assumptions!Q76</f>
        <v>139105.35120778333</v>
      </c>
      <c r="Q44" s="77">
        <f>$Y$44*(1+Assumptions!$AA$17)*Assumptions!R76</f>
        <v>151861.52459492639</v>
      </c>
      <c r="R44" s="77">
        <f>$Y$44*(1+Assumptions!$AA$17)*(1+Assumptions!$AB$17)*Assumptions!S76</f>
        <v>161988.55454406905</v>
      </c>
      <c r="S44" s="77">
        <f>$Y$44*(1+Assumptions!$AA$17)*(1+Assumptions!$AB$17)*Assumptions!T76</f>
        <v>170932.25140033787</v>
      </c>
      <c r="T44" s="77">
        <f>$Y$44*(1+Assumptions!$AA$17)*(1+Assumptions!$AB$17)*Assumptions!U76</f>
        <v>178255.76370715041</v>
      </c>
      <c r="U44" s="77">
        <f>$Y$44*(1+Assumptions!$AA$17)*(1+Assumptions!$AB$17)*Assumptions!V76</f>
        <v>184181.6060807411</v>
      </c>
      <c r="W44" s="77">
        <f>SUM(B44:E44)</f>
        <v>102196</v>
      </c>
      <c r="X44" s="77">
        <f>SUM(F44:I44)</f>
        <v>162361</v>
      </c>
      <c r="Y44" s="77">
        <f>SUM(J44:M44)</f>
        <v>304431.47398800001</v>
      </c>
      <c r="Z44" s="77">
        <f>SUM(N44:Q44)</f>
        <v>523330.19024176599</v>
      </c>
      <c r="AA44" s="77">
        <f>SUM(R44:U44)</f>
        <v>695358.1757322984</v>
      </c>
      <c r="AB44" s="58" t="s">
        <v>848</v>
      </c>
    </row>
    <row r="45" spans="1:29" s="259" customFormat="1" ht="15" customHeight="1" x14ac:dyDescent="0.15">
      <c r="A45" s="256" t="s">
        <v>849</v>
      </c>
      <c r="B45" s="257">
        <f>Raw_Data!B84</f>
        <v>3171</v>
      </c>
      <c r="C45" s="257">
        <f>Raw_Data!C84</f>
        <v>3668</v>
      </c>
      <c r="D45" s="257">
        <f>Raw_Data!D84</f>
        <v>3127</v>
      </c>
      <c r="E45" s="257">
        <f>Raw_Data!E84</f>
        <v>3024</v>
      </c>
      <c r="F45" s="257">
        <f>Raw_Data!F84</f>
        <v>4957</v>
      </c>
      <c r="G45" s="257">
        <v>7252</v>
      </c>
      <c r="H45" s="257">
        <f>Raw_Data!H84</f>
        <v>8187</v>
      </c>
      <c r="I45" s="257">
        <f>Raw_Data!I84</f>
        <v>10980</v>
      </c>
      <c r="J45" s="257">
        <f>Raw_Data!J84</f>
        <v>14800</v>
      </c>
      <c r="K45" s="257">
        <f>Raw_Data!K84</f>
        <v>17464</v>
      </c>
      <c r="L45" s="258">
        <f>L44*Assumptions!M18</f>
        <v>19748.251358399997</v>
      </c>
      <c r="M45" s="258">
        <f>M44*Assumptions!N18</f>
        <v>21183.391932079998</v>
      </c>
      <c r="N45" s="258">
        <f>$Y$45*(1+Assumptions!$AA$19)*Assumptions!O76</f>
        <v>27529.902406960886</v>
      </c>
      <c r="O45" s="258">
        <f>$Y$45*(1+Assumptions!$AA$19)*Assumptions!P76</f>
        <v>31722.742774998424</v>
      </c>
      <c r="P45" s="258">
        <f>$Y$45*(1+Assumptions!$AA$19)*Assumptions!Q76</f>
        <v>35471.864557984722</v>
      </c>
      <c r="Q45" s="258">
        <f>$Y$45*(1+Assumptions!$AA$19)*Assumptions!R76</f>
        <v>38724.688771706205</v>
      </c>
      <c r="R45" s="258">
        <f>$Y$45*(1+Assumptions!$AA$19)*(1+Assumptions!$AB$19)*Assumptions!S76</f>
        <v>43736.90972689863</v>
      </c>
      <c r="S45" s="258">
        <f>$Y$45*(1+Assumptions!$AA$19)*(1+Assumptions!$AB$19)*Assumptions!T76</f>
        <v>46151.707878091212</v>
      </c>
      <c r="T45" s="258">
        <f>$Y$45*(1+Assumptions!$AA$19)*(1+Assumptions!$AB$19)*Assumptions!U76</f>
        <v>48129.056200930601</v>
      </c>
      <c r="U45" s="258">
        <f>$Y$45*(1+Assumptions!$AA$19)*(1+Assumptions!$AB$19)*Assumptions!V76</f>
        <v>49729.033641800081</v>
      </c>
      <c r="W45" s="77">
        <f>SUM(B45:E45)</f>
        <v>12990</v>
      </c>
      <c r="X45" s="77">
        <f>SUM(F45:I45)</f>
        <v>31376</v>
      </c>
      <c r="Y45" s="258">
        <f>SUM(J45:M45)</f>
        <v>73195.643290479988</v>
      </c>
      <c r="Z45" s="258">
        <f>SUM(N45:Q45)</f>
        <v>133449.19851165023</v>
      </c>
      <c r="AA45" s="258">
        <f>SUM(R45:U45)</f>
        <v>187746.70744772055</v>
      </c>
      <c r="AB45" s="58" t="s">
        <v>850</v>
      </c>
    </row>
    <row r="46" spans="1:29" s="237" customFormat="1" ht="15" customHeight="1" x14ac:dyDescent="0.15">
      <c r="A46" s="56" t="s">
        <v>851</v>
      </c>
      <c r="G46" s="269">
        <f>SUM(G44:G45)</f>
        <v>41096</v>
      </c>
      <c r="H46" s="269">
        <f>SUM(H44:H45)</f>
        <v>51215</v>
      </c>
      <c r="I46" s="269">
        <f>I44+I45</f>
        <v>62314</v>
      </c>
      <c r="J46" s="269">
        <f>J44+J45</f>
        <v>75246</v>
      </c>
      <c r="K46" s="269">
        <f>K8</f>
        <v>89023</v>
      </c>
      <c r="L46" s="260">
        <f t="shared" ref="L46:U46" si="14">L44+L45</f>
        <v>102032.63201839999</v>
      </c>
      <c r="M46" s="260">
        <f t="shared" si="14"/>
        <v>111325.48526007999</v>
      </c>
      <c r="N46" s="260">
        <f t="shared" si="14"/>
        <v>135490.304002886</v>
      </c>
      <c r="O46" s="260">
        <f t="shared" si="14"/>
        <v>156125.65561812959</v>
      </c>
      <c r="P46" s="260">
        <f t="shared" si="14"/>
        <v>174577.21576576805</v>
      </c>
      <c r="Q46" s="260">
        <f t="shared" si="14"/>
        <v>190586.21336663258</v>
      </c>
      <c r="R46" s="260">
        <f t="shared" si="14"/>
        <v>205725.46427096767</v>
      </c>
      <c r="S46" s="260">
        <f t="shared" si="14"/>
        <v>217083.9592784291</v>
      </c>
      <c r="T46" s="260">
        <f t="shared" si="14"/>
        <v>226384.81990808103</v>
      </c>
      <c r="U46" s="260">
        <f t="shared" si="14"/>
        <v>233910.63972254118</v>
      </c>
      <c r="Y46" s="260">
        <f>Y44+Y45</f>
        <v>377627.11727847997</v>
      </c>
      <c r="Z46" s="260">
        <f>Z44+Z45</f>
        <v>656779.38875341625</v>
      </c>
      <c r="AA46" s="260">
        <f>AA44+AA45</f>
        <v>883104.88318001898</v>
      </c>
      <c r="AB46" s="261" t="s">
        <v>852</v>
      </c>
    </row>
    <row r="47" spans="1:29" ht="15" customHeight="1" x14ac:dyDescent="0.15">
      <c r="A47" s="57" t="s">
        <v>853</v>
      </c>
      <c r="G47" s="245">
        <f t="shared" ref="G47:U47" si="15">G46-G8</f>
        <v>0</v>
      </c>
      <c r="H47" s="245">
        <f t="shared" si="15"/>
        <v>0</v>
      </c>
      <c r="I47" s="245">
        <f t="shared" si="15"/>
        <v>0</v>
      </c>
      <c r="J47" s="270">
        <f t="shared" si="15"/>
        <v>0</v>
      </c>
      <c r="K47" s="77">
        <f t="shared" si="15"/>
        <v>0</v>
      </c>
      <c r="L47" s="77">
        <f t="shared" si="15"/>
        <v>0</v>
      </c>
      <c r="M47" s="77">
        <f t="shared" si="15"/>
        <v>0</v>
      </c>
      <c r="N47" s="77">
        <f t="shared" si="15"/>
        <v>0</v>
      </c>
      <c r="O47" s="77">
        <f t="shared" si="15"/>
        <v>0</v>
      </c>
      <c r="P47" s="77">
        <f t="shared" si="15"/>
        <v>0</v>
      </c>
      <c r="Q47" s="77">
        <f t="shared" si="15"/>
        <v>0</v>
      </c>
      <c r="R47" s="77">
        <f t="shared" si="15"/>
        <v>0</v>
      </c>
      <c r="S47" s="77">
        <f t="shared" si="15"/>
        <v>0</v>
      </c>
      <c r="T47" s="77">
        <f t="shared" si="15"/>
        <v>0</v>
      </c>
      <c r="U47" s="77">
        <f t="shared" si="15"/>
        <v>0</v>
      </c>
      <c r="Y47" s="77">
        <f>Y46-Y8</f>
        <v>0</v>
      </c>
      <c r="Z47" s="77">
        <f>Z46-Z8</f>
        <v>0</v>
      </c>
      <c r="AA47" s="77">
        <f>AA46-AA8</f>
        <v>0</v>
      </c>
      <c r="AB47" s="58" t="s">
        <v>854</v>
      </c>
    </row>
    <row r="48" spans="1:29" ht="15" customHeight="1" x14ac:dyDescent="0.15">
      <c r="A48" s="57" t="s">
        <v>855</v>
      </c>
      <c r="G48" s="270">
        <f>G46-G55</f>
        <v>-235</v>
      </c>
      <c r="H48" s="270">
        <f>H46-H55</f>
        <v>307</v>
      </c>
      <c r="I48" s="270">
        <f>I46-I55</f>
        <v>663</v>
      </c>
      <c r="J48" s="270">
        <f>J46-J55</f>
        <v>696</v>
      </c>
      <c r="K48" s="77">
        <f>K46-K55</f>
        <v>724</v>
      </c>
      <c r="L48" s="77">
        <f t="shared" ref="L48:U48" si="16">L46*L49</f>
        <v>829.80382127451992</v>
      </c>
      <c r="M48" s="77">
        <f t="shared" si="16"/>
        <v>905.38008523974599</v>
      </c>
      <c r="N48" s="77">
        <f t="shared" si="16"/>
        <v>1101.9060253877026</v>
      </c>
      <c r="O48" s="77">
        <f t="shared" si="16"/>
        <v>1269.7277632468667</v>
      </c>
      <c r="P48" s="77">
        <f t="shared" si="16"/>
        <v>1419.7893152827478</v>
      </c>
      <c r="Q48" s="77">
        <f t="shared" si="16"/>
        <v>1549.9861662429032</v>
      </c>
      <c r="R48" s="77">
        <f t="shared" si="16"/>
        <v>1673.109602374449</v>
      </c>
      <c r="S48" s="77">
        <f t="shared" si="16"/>
        <v>1765.485172568692</v>
      </c>
      <c r="T48" s="77">
        <f t="shared" si="16"/>
        <v>1841.1265584562489</v>
      </c>
      <c r="U48" s="77">
        <f t="shared" si="16"/>
        <v>1902.3320171092842</v>
      </c>
      <c r="Y48" s="77">
        <f>Y46-Y55</f>
        <v>3155.1839065142558</v>
      </c>
      <c r="Z48" s="77">
        <f>Z46-Z55</f>
        <v>5341.4092701602494</v>
      </c>
      <c r="AA48" s="77">
        <f>AA46-AA55</f>
        <v>7182.0533505086787</v>
      </c>
      <c r="AB48" s="58" t="s">
        <v>856</v>
      </c>
    </row>
    <row r="49" spans="1:29" ht="15" customHeight="1" x14ac:dyDescent="0.15">
      <c r="A49" s="57" t="s">
        <v>857</v>
      </c>
      <c r="G49" s="271">
        <f>G48/G8</f>
        <v>-5.7183180844851082E-3</v>
      </c>
      <c r="H49" s="271">
        <f>H48/H8</f>
        <v>5.9943375964073026E-3</v>
      </c>
      <c r="I49" s="271">
        <f>I48/I8</f>
        <v>1.0639663638989633E-2</v>
      </c>
      <c r="J49" s="271">
        <f>J48/J8</f>
        <v>9.2496611115541021E-3</v>
      </c>
      <c r="K49" s="271">
        <f>K48/K8</f>
        <v>8.1327297439987411E-3</v>
      </c>
      <c r="L49" s="271">
        <f>Assumptions!M21</f>
        <v>8.1327297439987411E-3</v>
      </c>
      <c r="M49" s="271">
        <f>Assumptions!N21</f>
        <v>8.1327297439987411E-3</v>
      </c>
      <c r="N49" s="271">
        <f>Assumptions!O21</f>
        <v>8.1327297439987411E-3</v>
      </c>
      <c r="O49" s="271">
        <f>Assumptions!P21</f>
        <v>8.1327297439987411E-3</v>
      </c>
      <c r="P49" s="271">
        <f>Assumptions!Q21</f>
        <v>8.1327297439987411E-3</v>
      </c>
      <c r="Q49" s="271">
        <f>Assumptions!R21</f>
        <v>8.1327297439987411E-3</v>
      </c>
      <c r="R49" s="271">
        <f>Assumptions!S21</f>
        <v>8.1327297439987411E-3</v>
      </c>
      <c r="S49" s="271">
        <f>Assumptions!T21</f>
        <v>8.1327297439987411E-3</v>
      </c>
      <c r="T49" s="271">
        <f>Assumptions!U21</f>
        <v>8.1327297439987411E-3</v>
      </c>
      <c r="U49" s="271">
        <f>Assumptions!V21</f>
        <v>8.1327297439987411E-3</v>
      </c>
      <c r="Y49" s="77"/>
      <c r="Z49" s="77"/>
      <c r="AA49" s="77"/>
      <c r="AB49" s="58"/>
    </row>
    <row r="50" spans="1:29" ht="15" customHeight="1" x14ac:dyDescent="0.15">
      <c r="A50" s="57"/>
      <c r="H50" s="77"/>
      <c r="I50" s="77"/>
      <c r="J50" s="77"/>
      <c r="K50" s="77"/>
      <c r="L50" s="77"/>
      <c r="M50" s="77"/>
      <c r="N50" s="77"/>
      <c r="O50" s="77"/>
      <c r="P50" s="77"/>
      <c r="Q50" s="77"/>
      <c r="R50" s="77"/>
      <c r="S50" s="77"/>
      <c r="T50" s="77"/>
      <c r="U50" s="77"/>
      <c r="Y50" s="77"/>
      <c r="Z50" s="77"/>
      <c r="AA50" s="77"/>
      <c r="AB50" s="58"/>
    </row>
    <row r="51" spans="1:29" ht="15" customHeight="1" x14ac:dyDescent="0.15">
      <c r="A51" s="59" t="s">
        <v>858</v>
      </c>
      <c r="B51" s="114"/>
      <c r="C51" s="114"/>
      <c r="D51" s="114"/>
      <c r="E51" s="114"/>
      <c r="F51" s="114"/>
      <c r="G51" s="114"/>
      <c r="H51" s="114"/>
      <c r="I51" s="114"/>
      <c r="J51" s="114"/>
      <c r="K51" s="114"/>
      <c r="L51" s="114"/>
      <c r="M51" s="114"/>
      <c r="N51" s="114"/>
      <c r="O51" s="114"/>
      <c r="P51" s="114"/>
      <c r="Q51" s="114"/>
      <c r="R51" s="114"/>
      <c r="S51" s="114"/>
      <c r="T51" s="114"/>
      <c r="U51" s="114"/>
      <c r="V51" s="211"/>
      <c r="W51" s="114"/>
      <c r="X51" s="114"/>
      <c r="Y51" s="114"/>
      <c r="Z51" s="114"/>
      <c r="AA51" s="114"/>
      <c r="AB51" s="114"/>
      <c r="AC51" s="114"/>
    </row>
    <row r="52" spans="1:29" ht="15" customHeight="1" x14ac:dyDescent="0.15">
      <c r="A52" s="57" t="s">
        <v>847</v>
      </c>
      <c r="B52" s="57"/>
      <c r="C52" s="57"/>
      <c r="D52" s="57"/>
      <c r="E52" s="57"/>
      <c r="F52" s="57"/>
      <c r="G52" s="57"/>
      <c r="H52" s="245">
        <f t="shared" ref="H52:U52" si="17">H44</f>
        <v>43028</v>
      </c>
      <c r="I52" s="245">
        <f t="shared" si="17"/>
        <v>51334</v>
      </c>
      <c r="J52" s="245">
        <f t="shared" si="17"/>
        <v>60446</v>
      </c>
      <c r="K52" s="245">
        <f t="shared" si="17"/>
        <v>71559</v>
      </c>
      <c r="L52" s="77">
        <f t="shared" si="17"/>
        <v>82284.380659999995</v>
      </c>
      <c r="M52" s="77">
        <f t="shared" si="17"/>
        <v>90142.093328000003</v>
      </c>
      <c r="N52" s="77">
        <f t="shared" si="17"/>
        <v>107960.40159592511</v>
      </c>
      <c r="O52" s="77">
        <f t="shared" si="17"/>
        <v>124402.91284313117</v>
      </c>
      <c r="P52" s="77">
        <f t="shared" si="17"/>
        <v>139105.35120778333</v>
      </c>
      <c r="Q52" s="77">
        <f t="shared" si="17"/>
        <v>151861.52459492639</v>
      </c>
      <c r="R52" s="77">
        <f t="shared" si="17"/>
        <v>161988.55454406905</v>
      </c>
      <c r="S52" s="77">
        <f t="shared" si="17"/>
        <v>170932.25140033787</v>
      </c>
      <c r="T52" s="77">
        <f t="shared" si="17"/>
        <v>178255.76370715041</v>
      </c>
      <c r="U52" s="77">
        <f t="shared" si="17"/>
        <v>184181.6060807411</v>
      </c>
      <c r="V52" s="211"/>
      <c r="Y52" s="77">
        <f t="shared" ref="Y52:AA53" si="18">Y44</f>
        <v>304431.47398800001</v>
      </c>
      <c r="Z52" s="77">
        <f t="shared" si="18"/>
        <v>523330.19024176599</v>
      </c>
      <c r="AA52" s="77">
        <f t="shared" si="18"/>
        <v>695358.1757322984</v>
      </c>
      <c r="AB52" s="58"/>
      <c r="AC52" s="58"/>
    </row>
    <row r="53" spans="1:29" s="273" customFormat="1" ht="15" customHeight="1" x14ac:dyDescent="0.15">
      <c r="A53" s="57" t="s">
        <v>849</v>
      </c>
      <c r="B53" s="57"/>
      <c r="C53" s="57"/>
      <c r="D53" s="57"/>
      <c r="E53" s="57"/>
      <c r="F53" s="57"/>
      <c r="G53" s="57"/>
      <c r="H53" s="245">
        <f t="shared" ref="H53:U53" si="19">H45</f>
        <v>8187</v>
      </c>
      <c r="I53" s="245">
        <f t="shared" si="19"/>
        <v>10980</v>
      </c>
      <c r="J53" s="245">
        <f t="shared" si="19"/>
        <v>14800</v>
      </c>
      <c r="K53" s="245">
        <f t="shared" si="19"/>
        <v>17464</v>
      </c>
      <c r="L53" s="77">
        <f t="shared" si="19"/>
        <v>19748.251358399997</v>
      </c>
      <c r="M53" s="77">
        <f t="shared" si="19"/>
        <v>21183.391932079998</v>
      </c>
      <c r="N53" s="77">
        <f t="shared" si="19"/>
        <v>27529.902406960886</v>
      </c>
      <c r="O53" s="77">
        <f t="shared" si="19"/>
        <v>31722.742774998424</v>
      </c>
      <c r="P53" s="77">
        <f t="shared" si="19"/>
        <v>35471.864557984722</v>
      </c>
      <c r="Q53" s="77">
        <f t="shared" si="19"/>
        <v>38724.688771706205</v>
      </c>
      <c r="R53" s="77">
        <f t="shared" si="19"/>
        <v>43736.90972689863</v>
      </c>
      <c r="S53" s="77">
        <f t="shared" si="19"/>
        <v>46151.707878091212</v>
      </c>
      <c r="T53" s="77">
        <f t="shared" si="19"/>
        <v>48129.056200930601</v>
      </c>
      <c r="U53" s="77">
        <f t="shared" si="19"/>
        <v>49729.033641800081</v>
      </c>
      <c r="V53" s="272"/>
      <c r="Y53" s="77">
        <f t="shared" si="18"/>
        <v>73195.643290479988</v>
      </c>
      <c r="Z53" s="77">
        <f t="shared" si="18"/>
        <v>133449.19851165023</v>
      </c>
      <c r="AA53" s="77">
        <f t="shared" si="18"/>
        <v>187746.70744772055</v>
      </c>
      <c r="AB53" s="58"/>
      <c r="AC53" s="58"/>
    </row>
    <row r="54" spans="1:29" s="276" customFormat="1" ht="15" customHeight="1" x14ac:dyDescent="0.15">
      <c r="A54" s="256" t="s">
        <v>859</v>
      </c>
      <c r="B54" s="256"/>
      <c r="C54" s="256"/>
      <c r="D54" s="256"/>
      <c r="E54" s="256"/>
      <c r="F54" s="256"/>
      <c r="G54" s="256"/>
      <c r="H54" s="274">
        <f>H55-SUM(H52:H53)</f>
        <v>-307</v>
      </c>
      <c r="I54" s="274">
        <f>I55-SUM(I52:I53)</f>
        <v>-663</v>
      </c>
      <c r="J54" s="274">
        <f>J55-SUM(J52:J53)</f>
        <v>-696</v>
      </c>
      <c r="K54" s="274">
        <f>K55-SUM(K52:K53)</f>
        <v>-724</v>
      </c>
      <c r="L54" s="258">
        <f t="shared" ref="L54:U54" si="20">-L48</f>
        <v>-829.80382127451992</v>
      </c>
      <c r="M54" s="258">
        <f t="shared" si="20"/>
        <v>-905.38008523974599</v>
      </c>
      <c r="N54" s="258">
        <f t="shared" si="20"/>
        <v>-1101.9060253877026</v>
      </c>
      <c r="O54" s="258">
        <f t="shared" si="20"/>
        <v>-1269.7277632468667</v>
      </c>
      <c r="P54" s="258">
        <f t="shared" si="20"/>
        <v>-1419.7893152827478</v>
      </c>
      <c r="Q54" s="258">
        <f t="shared" si="20"/>
        <v>-1549.9861662429032</v>
      </c>
      <c r="R54" s="258">
        <f t="shared" si="20"/>
        <v>-1673.109602374449</v>
      </c>
      <c r="S54" s="258">
        <f t="shared" si="20"/>
        <v>-1765.485172568692</v>
      </c>
      <c r="T54" s="258">
        <f t="shared" si="20"/>
        <v>-1841.1265584562489</v>
      </c>
      <c r="U54" s="258">
        <f t="shared" si="20"/>
        <v>-1902.3320171092842</v>
      </c>
      <c r="V54" s="273"/>
      <c r="W54" s="275"/>
      <c r="X54" s="275"/>
      <c r="Y54" s="258">
        <f>SUM(J54:M54)</f>
        <v>-3155.1839065142658</v>
      </c>
      <c r="Z54" s="258">
        <f>SUM(N54:Q54)</f>
        <v>-5341.4092701602203</v>
      </c>
      <c r="AA54" s="258">
        <f>SUM(R54:U54)</f>
        <v>-7182.0533505086732</v>
      </c>
      <c r="AB54" s="58"/>
      <c r="AC54" s="58"/>
    </row>
    <row r="55" spans="1:29" s="237" customFormat="1" ht="15" customHeight="1" x14ac:dyDescent="0.15">
      <c r="A55" s="56" t="s">
        <v>860</v>
      </c>
      <c r="B55" s="277">
        <f>Raw_Data!B74</f>
        <v>22675</v>
      </c>
      <c r="C55" s="277">
        <f>Raw_Data!C74</f>
        <v>26446</v>
      </c>
      <c r="D55" s="277">
        <f>Raw_Data!D74</f>
        <v>31036</v>
      </c>
      <c r="E55" s="277">
        <f>Raw_Data!E74</f>
        <v>36036</v>
      </c>
      <c r="F55" s="277">
        <f>Raw_Data!F74</f>
        <v>39589</v>
      </c>
      <c r="G55" s="277">
        <f>Raw_Data!G74</f>
        <v>41331</v>
      </c>
      <c r="H55" s="277">
        <f>Raw_Data!H74</f>
        <v>50908</v>
      </c>
      <c r="I55" s="277">
        <f>Raw_Data!I74</f>
        <v>61651</v>
      </c>
      <c r="J55" s="277">
        <f>Raw_Data!J74</f>
        <v>74550</v>
      </c>
      <c r="K55" s="277">
        <f>Raw_Data!K74</f>
        <v>88299</v>
      </c>
      <c r="L55" s="260">
        <f t="shared" ref="L55:U55" si="21">SUM(L52:L54)</f>
        <v>101202.82819712548</v>
      </c>
      <c r="M55" s="260">
        <f t="shared" si="21"/>
        <v>110420.10517484025</v>
      </c>
      <c r="N55" s="260">
        <f t="shared" si="21"/>
        <v>134388.3979774983</v>
      </c>
      <c r="O55" s="260">
        <f t="shared" si="21"/>
        <v>154855.92785488273</v>
      </c>
      <c r="P55" s="260">
        <f t="shared" si="21"/>
        <v>173157.42645048531</v>
      </c>
      <c r="Q55" s="260">
        <f t="shared" si="21"/>
        <v>189036.22720038967</v>
      </c>
      <c r="R55" s="260">
        <f t="shared" si="21"/>
        <v>204052.35466859321</v>
      </c>
      <c r="S55" s="260">
        <f t="shared" si="21"/>
        <v>215318.4741058604</v>
      </c>
      <c r="T55" s="260">
        <f t="shared" si="21"/>
        <v>224543.69334962478</v>
      </c>
      <c r="U55" s="260">
        <f t="shared" si="21"/>
        <v>232008.30770543189</v>
      </c>
      <c r="W55" s="260">
        <f>SUM(B55:E55)</f>
        <v>116193</v>
      </c>
      <c r="X55" s="260">
        <f>SUM(F55:I55)</f>
        <v>193479</v>
      </c>
      <c r="Y55" s="260">
        <f>SUM(J55:M55)</f>
        <v>374471.93337196572</v>
      </c>
      <c r="Z55" s="260">
        <f>SUM(N55:Q55)</f>
        <v>651437.979483256</v>
      </c>
      <c r="AA55" s="260">
        <f>SUM(R55:U55)</f>
        <v>875922.8298295103</v>
      </c>
      <c r="AB55" s="58" t="s">
        <v>861</v>
      </c>
    </row>
    <row r="56" spans="1:29" ht="15" customHeight="1" x14ac:dyDescent="0.15">
      <c r="A56" s="57" t="s">
        <v>240</v>
      </c>
      <c r="B56" s="245">
        <f>Raw_Data!B75</f>
        <v>3369</v>
      </c>
      <c r="C56" s="245">
        <f>Raw_Data!C75</f>
        <v>3594</v>
      </c>
      <c r="D56" s="245">
        <f>Raw_Data!D75</f>
        <v>4046</v>
      </c>
      <c r="E56" s="245">
        <f>Raw_Data!E75</f>
        <v>3295</v>
      </c>
      <c r="F56" s="245">
        <f>Raw_Data!F75</f>
        <v>4473</v>
      </c>
      <c r="G56" s="245">
        <f>Raw_Data!G75</f>
        <v>5412</v>
      </c>
      <c r="H56" s="245">
        <f>Raw_Data!H75</f>
        <v>6098</v>
      </c>
      <c r="I56" s="245">
        <f>Raw_Data!I75</f>
        <v>6476</v>
      </c>
      <c r="J56" s="245">
        <f>Raw_Data!J75</f>
        <v>7065</v>
      </c>
      <c r="K56" s="245">
        <f>Raw_Data!K75</f>
        <v>7922</v>
      </c>
      <c r="L56" s="77">
        <f>H56/Assumptions!I13*(1+Assumptions!M24)*Assumptions!M13</f>
        <v>8414.9838839999993</v>
      </c>
      <c r="M56" s="77">
        <f>I56/Assumptions!J13*(1+Assumptions!N24)*Assumptions!N13</f>
        <v>8787.983807999999</v>
      </c>
      <c r="N56" s="77">
        <f>J56/Assumptions!K13*(1+Assumptions!O24)*Assumptions!O13</f>
        <v>9247.844790000001</v>
      </c>
      <c r="O56" s="77">
        <f>K56/Assumptions!L13*(1+Assumptions!P24)*Assumptions!P13</f>
        <v>9673.0947240000023</v>
      </c>
      <c r="P56" s="77">
        <f>L56/Assumptions!M13*(1+Assumptions!Q24)*Assumptions!Q13</f>
        <v>10114.541349083711</v>
      </c>
      <c r="Q56" s="77">
        <f>M56/Assumptions!N13*(1+Assumptions!R24)*Assumptions!R13</f>
        <v>10598.730295670783</v>
      </c>
      <c r="R56" s="77">
        <f>N56/Assumptions!O13*(1+Assumptions!S24)*Assumptions!S13</f>
        <v>10976.95132176546</v>
      </c>
      <c r="S56" s="77">
        <f>O56/Assumptions!P13*(1+Assumptions!T24)*Assumptions!T13</f>
        <v>11346.540111252001</v>
      </c>
      <c r="T56" s="77">
        <f>P56/Assumptions!Q13*(1+Assumptions!U24)*Assumptions!U13</f>
        <v>11733.333233839161</v>
      </c>
      <c r="U56" s="77">
        <f>Q56/Assumptions!R13*(1+Assumptions!V24)*Assumptions!V13</f>
        <v>12114.475912715254</v>
      </c>
      <c r="W56" s="77">
        <f>SUM(B56:E56)</f>
        <v>14304</v>
      </c>
      <c r="X56" s="77">
        <f>SUM(F56:I56)</f>
        <v>22459</v>
      </c>
      <c r="Y56" s="77">
        <f>SUM(J56:M56)</f>
        <v>32189.967691999998</v>
      </c>
      <c r="Z56" s="77">
        <f>SUM(N56:Q56)</f>
        <v>39634.211158754493</v>
      </c>
      <c r="AA56" s="77">
        <f>SUM(R56:U56)</f>
        <v>46171.300579571878</v>
      </c>
      <c r="AB56" s="58" t="s">
        <v>862</v>
      </c>
    </row>
    <row r="57" spans="1:29" s="259" customFormat="1" ht="15" customHeight="1" x14ac:dyDescent="0.15">
      <c r="A57" s="256" t="s">
        <v>863</v>
      </c>
      <c r="B57" s="257">
        <f>Raw_Data!B76</f>
        <v>0</v>
      </c>
      <c r="C57" s="257">
        <f>Raw_Data!C76</f>
        <v>0</v>
      </c>
      <c r="D57" s="257">
        <f>Raw_Data!D76</f>
        <v>0</v>
      </c>
      <c r="E57" s="257">
        <f>Raw_Data!E76</f>
        <v>0</v>
      </c>
      <c r="F57" s="257">
        <f>Raw_Data!F76</f>
        <v>0</v>
      </c>
      <c r="G57" s="257">
        <f>Raw_Data!G76</f>
        <v>0</v>
      </c>
      <c r="H57" s="257">
        <f>Raw_Data!H76</f>
        <v>0</v>
      </c>
      <c r="I57" s="257">
        <f>Raw_Data!I76</f>
        <v>0</v>
      </c>
      <c r="J57" s="257">
        <f>Raw_Data!J76</f>
        <v>0</v>
      </c>
      <c r="K57" s="257">
        <f>Raw_Data!K76</f>
        <v>0</v>
      </c>
      <c r="L57" s="258">
        <f t="shared" ref="L57:U57" si="22">L$10-L55-L56</f>
        <v>12.611937274517913</v>
      </c>
      <c r="M57" s="258">
        <f t="shared" si="22"/>
        <v>17.263277239739182</v>
      </c>
      <c r="N57" s="258">
        <f t="shared" si="22"/>
        <v>50.964235387686131</v>
      </c>
      <c r="O57" s="258">
        <f t="shared" si="22"/>
        <v>97.471039246847795</v>
      </c>
      <c r="P57" s="258">
        <f t="shared" si="22"/>
        <v>103.49110219903923</v>
      </c>
      <c r="Q57" s="258">
        <f t="shared" si="22"/>
        <v>51.902654572146275</v>
      </c>
      <c r="R57" s="258">
        <f t="shared" si="22"/>
        <v>89.809118609002326</v>
      </c>
      <c r="S57" s="258">
        <f t="shared" si="22"/>
        <v>118.40121931668909</v>
      </c>
      <c r="T57" s="258">
        <f t="shared" si="22"/>
        <v>102.59752711307556</v>
      </c>
      <c r="U57" s="258">
        <f t="shared" si="22"/>
        <v>89.788263882041065</v>
      </c>
      <c r="W57" s="258">
        <f>SUM(B57:E57)</f>
        <v>0</v>
      </c>
      <c r="X57" s="258">
        <f>SUM(F57:I57)</f>
        <v>0</v>
      </c>
      <c r="Y57" s="258">
        <f>SUM(J57:M57)</f>
        <v>29.875214514257095</v>
      </c>
      <c r="Z57" s="258">
        <f>SUM(N57:Q57)</f>
        <v>303.82903140571943</v>
      </c>
      <c r="AA57" s="258">
        <f>SUM(R57:U57)</f>
        <v>400.59612892080804</v>
      </c>
      <c r="AB57" s="58" t="s">
        <v>864</v>
      </c>
    </row>
    <row r="58" spans="1:29" ht="15" customHeight="1" x14ac:dyDescent="0.15">
      <c r="A58" s="56" t="s">
        <v>865</v>
      </c>
      <c r="B58" s="260">
        <f t="shared" ref="B58:U58" si="23">SUM(B55:B57)</f>
        <v>26044</v>
      </c>
      <c r="C58" s="260">
        <f t="shared" si="23"/>
        <v>30040</v>
      </c>
      <c r="D58" s="260">
        <f t="shared" si="23"/>
        <v>35082</v>
      </c>
      <c r="E58" s="260">
        <f t="shared" si="23"/>
        <v>39331</v>
      </c>
      <c r="F58" s="260">
        <f t="shared" si="23"/>
        <v>44062</v>
      </c>
      <c r="G58" s="260">
        <f t="shared" si="23"/>
        <v>46743</v>
      </c>
      <c r="H58" s="260">
        <f t="shared" si="23"/>
        <v>57006</v>
      </c>
      <c r="I58" s="260">
        <f t="shared" si="23"/>
        <v>68127</v>
      </c>
      <c r="J58" s="260">
        <f t="shared" si="23"/>
        <v>81615</v>
      </c>
      <c r="K58" s="260">
        <f t="shared" si="23"/>
        <v>96221</v>
      </c>
      <c r="L58" s="260">
        <f t="shared" si="23"/>
        <v>109630.42401839999</v>
      </c>
      <c r="M58" s="260">
        <f t="shared" si="23"/>
        <v>119225.35226007999</v>
      </c>
      <c r="N58" s="260">
        <f t="shared" si="23"/>
        <v>143687.20700288599</v>
      </c>
      <c r="O58" s="260">
        <f t="shared" si="23"/>
        <v>164626.49361812958</v>
      </c>
      <c r="P58" s="260">
        <f t="shared" si="23"/>
        <v>183375.45890176806</v>
      </c>
      <c r="Q58" s="260">
        <f t="shared" si="23"/>
        <v>199686.86015063259</v>
      </c>
      <c r="R58" s="260">
        <f t="shared" si="23"/>
        <v>215119.11510896767</v>
      </c>
      <c r="S58" s="260">
        <f t="shared" si="23"/>
        <v>226783.41543642909</v>
      </c>
      <c r="T58" s="260">
        <f t="shared" si="23"/>
        <v>236379.62411057702</v>
      </c>
      <c r="U58" s="260">
        <f t="shared" si="23"/>
        <v>244212.57188202918</v>
      </c>
      <c r="V58" s="56"/>
      <c r="W58" s="260">
        <f>SUM(W55:W57)</f>
        <v>130497</v>
      </c>
      <c r="X58" s="260">
        <f>SUM(X55:X57)</f>
        <v>215938</v>
      </c>
      <c r="Y58" s="260">
        <f>SUM(Y55:Y57)</f>
        <v>406691.77627847996</v>
      </c>
      <c r="Z58" s="260">
        <f>SUM(Z55:Z57)</f>
        <v>691376.01967341627</v>
      </c>
      <c r="AA58" s="260">
        <f>SUM(AA55:AA57)</f>
        <v>922494.72653800296</v>
      </c>
      <c r="AB58" s="262"/>
      <c r="AC58" s="262"/>
    </row>
    <row r="59" spans="1:29" ht="15" customHeight="1" x14ac:dyDescent="0.15">
      <c r="A59" s="57" t="s">
        <v>866</v>
      </c>
      <c r="B59" s="77">
        <f t="shared" ref="B59:U59" si="24">B10-B58</f>
        <v>0</v>
      </c>
      <c r="C59" s="77">
        <f t="shared" si="24"/>
        <v>0</v>
      </c>
      <c r="D59" s="77">
        <f t="shared" si="24"/>
        <v>0</v>
      </c>
      <c r="E59" s="77">
        <f t="shared" si="24"/>
        <v>0</v>
      </c>
      <c r="F59" s="77">
        <f t="shared" si="24"/>
        <v>0</v>
      </c>
      <c r="G59" s="77">
        <f t="shared" si="24"/>
        <v>0</v>
      </c>
      <c r="H59" s="77">
        <f t="shared" si="24"/>
        <v>0</v>
      </c>
      <c r="I59" s="77">
        <f t="shared" si="24"/>
        <v>0</v>
      </c>
      <c r="J59" s="77">
        <f t="shared" si="24"/>
        <v>0</v>
      </c>
      <c r="K59" s="77">
        <f t="shared" si="24"/>
        <v>0</v>
      </c>
      <c r="L59" s="77">
        <f t="shared" si="24"/>
        <v>0</v>
      </c>
      <c r="M59" s="77">
        <f t="shared" si="24"/>
        <v>0</v>
      </c>
      <c r="N59" s="77">
        <f t="shared" si="24"/>
        <v>0</v>
      </c>
      <c r="O59" s="77">
        <f t="shared" si="24"/>
        <v>0</v>
      </c>
      <c r="P59" s="77">
        <f t="shared" si="24"/>
        <v>0</v>
      </c>
      <c r="Q59" s="77">
        <f t="shared" si="24"/>
        <v>0</v>
      </c>
      <c r="R59" s="77">
        <f t="shared" si="24"/>
        <v>0</v>
      </c>
      <c r="S59" s="77">
        <f t="shared" si="24"/>
        <v>0</v>
      </c>
      <c r="T59" s="77">
        <f t="shared" si="24"/>
        <v>0</v>
      </c>
      <c r="U59" s="77">
        <f t="shared" si="24"/>
        <v>0</v>
      </c>
      <c r="W59" s="77">
        <f>W10-W58</f>
        <v>0</v>
      </c>
      <c r="X59" s="77">
        <f>X10-X58</f>
        <v>0</v>
      </c>
      <c r="Y59" s="77">
        <f>Y10-Y58</f>
        <v>0</v>
      </c>
      <c r="Z59" s="77">
        <f>Z10-Z58</f>
        <v>0</v>
      </c>
      <c r="AA59" s="77">
        <f>AA10-AA58</f>
        <v>0</v>
      </c>
      <c r="AB59" s="58" t="s">
        <v>867</v>
      </c>
    </row>
    <row r="60" spans="1:29" ht="13.5" customHeight="1" x14ac:dyDescent="0.15">
      <c r="L60" s="104"/>
    </row>
    <row r="61" spans="1:29" s="82" customFormat="1" ht="13.5" customHeight="1" x14ac:dyDescent="0.15">
      <c r="A61" s="80" t="s">
        <v>868</v>
      </c>
      <c r="H61" s="263"/>
      <c r="I61" s="263"/>
      <c r="J61" s="263"/>
      <c r="K61" s="263"/>
      <c r="L61" s="263">
        <f t="shared" ref="L61:U62" si="25">IF(H52=0,0,(L52-H52)/H52)</f>
        <v>0.91234499999999985</v>
      </c>
      <c r="M61" s="263">
        <f t="shared" si="25"/>
        <v>0.755992</v>
      </c>
      <c r="N61" s="263">
        <f t="shared" si="25"/>
        <v>0.78606362035411959</v>
      </c>
      <c r="O61" s="263">
        <f t="shared" si="25"/>
        <v>0.7384663402665097</v>
      </c>
      <c r="P61" s="263">
        <f t="shared" si="25"/>
        <v>0.69054382000598913</v>
      </c>
      <c r="Q61" s="263">
        <f t="shared" si="25"/>
        <v>0.68469045912155513</v>
      </c>
      <c r="R61" s="263">
        <f t="shared" si="25"/>
        <v>0.50044416424422777</v>
      </c>
      <c r="S61" s="263">
        <f t="shared" si="25"/>
        <v>0.37402129495053699</v>
      </c>
      <c r="T61" s="263">
        <f t="shared" si="25"/>
        <v>0.28144433092935184</v>
      </c>
      <c r="U61" s="263">
        <f t="shared" si="25"/>
        <v>0.21282600429585377</v>
      </c>
      <c r="Y61" s="263"/>
      <c r="Z61" s="263">
        <f>IF(Y52=0,0,(Z52-Y52)/Y52)</f>
        <v>0.71904101565528167</v>
      </c>
      <c r="AA61" s="263">
        <f>IF(Z52=0,0,(AA52-Z52)/Z52)</f>
        <v>0.32871787009088776</v>
      </c>
    </row>
    <row r="62" spans="1:29" s="82" customFormat="1" ht="13.5" customHeight="1" x14ac:dyDescent="0.15">
      <c r="A62" s="80" t="s">
        <v>869</v>
      </c>
      <c r="H62" s="263"/>
      <c r="I62" s="263"/>
      <c r="J62" s="263"/>
      <c r="K62" s="263"/>
      <c r="L62" s="263">
        <f t="shared" si="25"/>
        <v>1.4121474726273358</v>
      </c>
      <c r="M62" s="263">
        <f t="shared" si="25"/>
        <v>0.92927066776684863</v>
      </c>
      <c r="N62" s="263">
        <f t="shared" si="25"/>
        <v>0.86012854101087066</v>
      </c>
      <c r="O62" s="263">
        <f t="shared" si="25"/>
        <v>0.81646488633751857</v>
      </c>
      <c r="P62" s="263">
        <f t="shared" si="25"/>
        <v>0.79620280875636229</v>
      </c>
      <c r="Q62" s="263">
        <f t="shared" si="25"/>
        <v>0.82806837053615456</v>
      </c>
      <c r="R62" s="263">
        <f t="shared" si="25"/>
        <v>0.58870558567035935</v>
      </c>
      <c r="S62" s="263">
        <f t="shared" si="25"/>
        <v>0.45484607700645158</v>
      </c>
      <c r="T62" s="263">
        <f t="shared" si="25"/>
        <v>0.35682340921931449</v>
      </c>
      <c r="U62" s="263">
        <f t="shared" si="25"/>
        <v>0.28416871043090441</v>
      </c>
      <c r="Y62" s="263"/>
      <c r="Z62" s="263">
        <f>IF(Y53=0,0,(Z53-Y53)/Y53)</f>
        <v>0.82318499452284988</v>
      </c>
      <c r="AA62" s="263">
        <f>IF(Z53=0,0,(AA53-Z53)/Z53)</f>
        <v>0.4068777448021173</v>
      </c>
    </row>
    <row r="63" spans="1:29" s="82" customFormat="1" ht="15" customHeight="1" x14ac:dyDescent="0.15">
      <c r="A63" s="80" t="s">
        <v>870</v>
      </c>
      <c r="F63" s="263">
        <f t="shared" ref="F63:U64" si="26">IF(B55=0,0,(F55-B55)/B55)</f>
        <v>0.7459316427783903</v>
      </c>
      <c r="G63" s="263">
        <f t="shared" si="26"/>
        <v>0.56284504272857894</v>
      </c>
      <c r="H63" s="263">
        <f t="shared" si="26"/>
        <v>0.64028869699703572</v>
      </c>
      <c r="I63" s="263">
        <f t="shared" si="26"/>
        <v>0.71081696081696077</v>
      </c>
      <c r="J63" s="263">
        <f t="shared" si="26"/>
        <v>0.8830988405870317</v>
      </c>
      <c r="K63" s="263">
        <f t="shared" si="26"/>
        <v>1.1363867315090368</v>
      </c>
      <c r="L63" s="263">
        <f t="shared" si="26"/>
        <v>0.9879552957713027</v>
      </c>
      <c r="M63" s="263">
        <f t="shared" si="26"/>
        <v>0.79105132398242128</v>
      </c>
      <c r="N63" s="263">
        <f t="shared" si="26"/>
        <v>0.8026612740107083</v>
      </c>
      <c r="O63" s="263">
        <f t="shared" si="26"/>
        <v>0.75376762879401493</v>
      </c>
      <c r="P63" s="263">
        <f t="shared" si="26"/>
        <v>0.71099394686090001</v>
      </c>
      <c r="Q63" s="263">
        <f t="shared" si="26"/>
        <v>0.71197289570651912</v>
      </c>
      <c r="R63" s="263">
        <f t="shared" si="26"/>
        <v>0.5183777598328041</v>
      </c>
      <c r="S63" s="263">
        <f t="shared" si="26"/>
        <v>0.39044386022883038</v>
      </c>
      <c r="T63" s="263">
        <f t="shared" si="26"/>
        <v>0.29676039862970288</v>
      </c>
      <c r="U63" s="263">
        <f t="shared" si="26"/>
        <v>0.22732193263405143</v>
      </c>
      <c r="X63" s="263">
        <f t="shared" ref="X63:AA64" si="27">IF(W55=0,0,(X55-W55)/W55)</f>
        <v>0.66515194547003698</v>
      </c>
      <c r="Y63" s="263">
        <f t="shared" si="27"/>
        <v>0.93546552014412787</v>
      </c>
      <c r="Z63" s="263">
        <f t="shared" si="27"/>
        <v>0.73961763600632224</v>
      </c>
      <c r="AA63" s="263">
        <f t="shared" si="27"/>
        <v>0.34459896017165553</v>
      </c>
      <c r="AB63" s="80"/>
    </row>
    <row r="64" spans="1:29" s="82" customFormat="1" ht="15" customHeight="1" x14ac:dyDescent="0.15">
      <c r="A64" s="80" t="s">
        <v>871</v>
      </c>
      <c r="F64" s="263">
        <f t="shared" si="26"/>
        <v>0.32769367764915402</v>
      </c>
      <c r="G64" s="263">
        <f t="shared" si="26"/>
        <v>0.50584307178631049</v>
      </c>
      <c r="H64" s="263">
        <f t="shared" si="26"/>
        <v>0.50716757291151759</v>
      </c>
      <c r="I64" s="263">
        <f t="shared" si="26"/>
        <v>0.96540212443095597</v>
      </c>
      <c r="J64" s="263">
        <f t="shared" si="26"/>
        <v>0.57947686116700203</v>
      </c>
      <c r="K64" s="263">
        <f t="shared" si="26"/>
        <v>0.46378418329637844</v>
      </c>
      <c r="L64" s="263">
        <f t="shared" si="26"/>
        <v>0.37995799999999991</v>
      </c>
      <c r="M64" s="263">
        <f t="shared" si="26"/>
        <v>0.35700799999999983</v>
      </c>
      <c r="N64" s="263">
        <f t="shared" si="26"/>
        <v>0.30896600000000013</v>
      </c>
      <c r="O64" s="263">
        <f t="shared" si="26"/>
        <v>0.22104200000000029</v>
      </c>
      <c r="P64" s="263">
        <f t="shared" si="26"/>
        <v>0.20196799999999995</v>
      </c>
      <c r="Q64" s="263">
        <f t="shared" si="26"/>
        <v>0.20604799999999998</v>
      </c>
      <c r="R64" s="263">
        <f t="shared" si="26"/>
        <v>0.18697399999999989</v>
      </c>
      <c r="S64" s="263">
        <f t="shared" si="26"/>
        <v>0.17299999999999985</v>
      </c>
      <c r="T64" s="263">
        <f t="shared" si="26"/>
        <v>0.16004599999999986</v>
      </c>
      <c r="U64" s="263">
        <f t="shared" si="26"/>
        <v>0.14301200000000011</v>
      </c>
      <c r="X64" s="263">
        <f t="shared" si="27"/>
        <v>0.57012024608501122</v>
      </c>
      <c r="Y64" s="263">
        <f t="shared" si="27"/>
        <v>0.43327697991896336</v>
      </c>
      <c r="Z64" s="263">
        <f t="shared" si="27"/>
        <v>0.23125973713246606</v>
      </c>
      <c r="AA64" s="263">
        <f t="shared" si="27"/>
        <v>0.16493552488361959</v>
      </c>
    </row>
    <row r="65" spans="1:29" s="82" customFormat="1" ht="15" customHeight="1" x14ac:dyDescent="0.15">
      <c r="A65" s="80" t="s">
        <v>828</v>
      </c>
      <c r="F65" s="263">
        <f t="shared" ref="F65:U65" si="28">IF(B58=0,0,(F58-B58)/B58)</f>
        <v>0.69182921210259563</v>
      </c>
      <c r="G65" s="263">
        <f t="shared" si="28"/>
        <v>0.5560252996005326</v>
      </c>
      <c r="H65" s="263">
        <f t="shared" si="28"/>
        <v>0.62493586454592098</v>
      </c>
      <c r="I65" s="263">
        <f t="shared" si="28"/>
        <v>0.7321451272533116</v>
      </c>
      <c r="J65" s="263">
        <f t="shared" si="28"/>
        <v>0.85227633788752211</v>
      </c>
      <c r="K65" s="263">
        <f t="shared" si="28"/>
        <v>1.0585114348672529</v>
      </c>
      <c r="L65" s="263">
        <f t="shared" si="28"/>
        <v>0.92313833663824851</v>
      </c>
      <c r="M65" s="263">
        <f t="shared" si="28"/>
        <v>0.75004553642579286</v>
      </c>
      <c r="N65" s="263">
        <f t="shared" si="28"/>
        <v>0.76054900450757812</v>
      </c>
      <c r="O65" s="263">
        <f t="shared" si="28"/>
        <v>0.71092062666288625</v>
      </c>
      <c r="P65" s="263">
        <f t="shared" si="28"/>
        <v>0.67266943044013905</v>
      </c>
      <c r="Q65" s="263">
        <f t="shared" si="28"/>
        <v>0.67486911437286135</v>
      </c>
      <c r="R65" s="263">
        <f t="shared" si="28"/>
        <v>0.497134780444629</v>
      </c>
      <c r="S65" s="263">
        <f t="shared" si="28"/>
        <v>0.37756329769423241</v>
      </c>
      <c r="T65" s="263">
        <f t="shared" si="28"/>
        <v>0.28904721234918695</v>
      </c>
      <c r="U65" s="263">
        <f t="shared" si="28"/>
        <v>0.22297767463421919</v>
      </c>
      <c r="X65" s="263">
        <f>IF(W58=0,0,(X58-W58)/W58)</f>
        <v>0.65473535790094795</v>
      </c>
      <c r="Y65" s="263">
        <f>IF(X58=0,0,(Y58-X58)/X58)</f>
        <v>0.88337289536107566</v>
      </c>
      <c r="Z65" s="263">
        <f>IF(Y58=0,0,(Z58-Y58)/Y58)</f>
        <v>0.70000000000000084</v>
      </c>
      <c r="AA65" s="263">
        <f>IF(Z58=0,0,(AA58-Z58)/Z58)</f>
        <v>0.33428799999999959</v>
      </c>
    </row>
    <row r="66" spans="1:29" s="82" customFormat="1" ht="15" customHeight="1" x14ac:dyDescent="0.15">
      <c r="A66" s="80"/>
      <c r="F66" s="263"/>
      <c r="I66" s="263"/>
      <c r="J66" s="263"/>
      <c r="K66" s="263"/>
      <c r="L66" s="263"/>
      <c r="M66" s="263"/>
      <c r="N66" s="263"/>
      <c r="O66" s="263"/>
      <c r="P66" s="263"/>
      <c r="Q66" s="263"/>
      <c r="R66" s="263"/>
      <c r="S66" s="263"/>
      <c r="T66" s="263"/>
      <c r="U66" s="263"/>
      <c r="Z66" s="263"/>
      <c r="AA66" s="263"/>
    </row>
    <row r="67" spans="1:29" s="82" customFormat="1" ht="15" customHeight="1" x14ac:dyDescent="0.15">
      <c r="A67" s="80" t="s">
        <v>872</v>
      </c>
      <c r="B67" s="80"/>
      <c r="C67" s="80"/>
      <c r="D67" s="80"/>
      <c r="E67" s="80"/>
      <c r="F67" s="80"/>
      <c r="G67" s="263"/>
      <c r="H67" s="263">
        <f t="shared" ref="H67:U67" si="29">IF(H$58=0,0,H52/H$58)</f>
        <v>0.75479774058870996</v>
      </c>
      <c r="I67" s="263">
        <f t="shared" si="29"/>
        <v>0.75350448427202132</v>
      </c>
      <c r="J67" s="263">
        <f t="shared" si="29"/>
        <v>0.74062365986644607</v>
      </c>
      <c r="K67" s="263">
        <f t="shared" si="29"/>
        <v>0.74369420396794883</v>
      </c>
      <c r="L67" s="263">
        <f t="shared" si="29"/>
        <v>0.75056154709562806</v>
      </c>
      <c r="M67" s="263">
        <f t="shared" si="29"/>
        <v>0.756064810203812</v>
      </c>
      <c r="N67" s="263">
        <f t="shared" si="29"/>
        <v>0.75135708910923926</v>
      </c>
      <c r="O67" s="263">
        <f t="shared" si="29"/>
        <v>0.7556676334958472</v>
      </c>
      <c r="P67" s="263">
        <f t="shared" si="29"/>
        <v>0.7585821572901984</v>
      </c>
      <c r="Q67" s="263">
        <f t="shared" si="29"/>
        <v>0.76049833464440553</v>
      </c>
      <c r="R67" s="263">
        <f t="shared" si="29"/>
        <v>0.75301794757762197</v>
      </c>
      <c r="S67" s="263">
        <f t="shared" si="29"/>
        <v>0.75372465429798075</v>
      </c>
      <c r="T67" s="263">
        <f t="shared" si="29"/>
        <v>0.75410799208210688</v>
      </c>
      <c r="U67" s="263">
        <f t="shared" si="29"/>
        <v>0.75418560421087977</v>
      </c>
      <c r="V67" s="278"/>
      <c r="W67" s="279"/>
      <c r="X67" s="279"/>
      <c r="Y67" s="263">
        <f t="shared" ref="Y67:AA68" si="30">IF(Y$58=0,0,Y52/Y$58)</f>
        <v>0.74855576568025373</v>
      </c>
      <c r="Z67" s="263">
        <f t="shared" si="30"/>
        <v>0.75694003747623517</v>
      </c>
      <c r="AA67" s="263">
        <f t="shared" si="30"/>
        <v>0.75378010922824779</v>
      </c>
      <c r="AB67" s="80"/>
      <c r="AC67" s="80"/>
    </row>
    <row r="68" spans="1:29" s="279" customFormat="1" ht="15" customHeight="1" x14ac:dyDescent="0.15">
      <c r="A68" s="80" t="s">
        <v>873</v>
      </c>
      <c r="B68" s="80"/>
      <c r="C68" s="80"/>
      <c r="D68" s="80"/>
      <c r="E68" s="80"/>
      <c r="F68" s="80"/>
      <c r="G68" s="263"/>
      <c r="H68" s="263">
        <f t="shared" ref="H68:U68" si="31">IF(H$58=0,0,H53/H$58)</f>
        <v>0.14361646142511314</v>
      </c>
      <c r="I68" s="263">
        <f t="shared" si="31"/>
        <v>0.16116958034259546</v>
      </c>
      <c r="J68" s="263">
        <f t="shared" si="31"/>
        <v>0.18133921460515837</v>
      </c>
      <c r="K68" s="263">
        <f t="shared" si="31"/>
        <v>0.18149884120929943</v>
      </c>
      <c r="L68" s="263">
        <f t="shared" si="31"/>
        <v>0.18013477130295072</v>
      </c>
      <c r="M68" s="263">
        <f t="shared" si="31"/>
        <v>0.17767523039789579</v>
      </c>
      <c r="N68" s="263">
        <f t="shared" si="31"/>
        <v>0.19159605772285587</v>
      </c>
      <c r="O68" s="263">
        <f t="shared" si="31"/>
        <v>0.19269524654144088</v>
      </c>
      <c r="P68" s="263">
        <f t="shared" si="31"/>
        <v>0.19343845010900043</v>
      </c>
      <c r="Q68" s="263">
        <f t="shared" si="31"/>
        <v>0.1939270753343233</v>
      </c>
      <c r="R68" s="263">
        <f t="shared" si="31"/>
        <v>0.20331484584595788</v>
      </c>
      <c r="S68" s="263">
        <f t="shared" si="31"/>
        <v>0.20350565666045475</v>
      </c>
      <c r="T68" s="263">
        <f t="shared" si="31"/>
        <v>0.20360915786216882</v>
      </c>
      <c r="U68" s="263">
        <f t="shared" si="31"/>
        <v>0.20363011313693749</v>
      </c>
      <c r="V68" s="280"/>
      <c r="Y68" s="263">
        <f t="shared" si="30"/>
        <v>0.179978174037037</v>
      </c>
      <c r="Z68" s="263">
        <f t="shared" si="30"/>
        <v>0.19301970955643982</v>
      </c>
      <c r="AA68" s="263">
        <f t="shared" si="30"/>
        <v>0.20352062949162686</v>
      </c>
      <c r="AB68" s="80"/>
      <c r="AC68" s="80"/>
    </row>
    <row r="69" spans="1:29" s="82" customFormat="1" ht="15" customHeight="1" x14ac:dyDescent="0.15">
      <c r="A69" s="80" t="s">
        <v>874</v>
      </c>
      <c r="B69" s="263">
        <f t="shared" ref="B69:U69" si="32">IF(B$58=0,0,B55/B$58)</f>
        <v>0.87064199047765323</v>
      </c>
      <c r="C69" s="263">
        <f t="shared" si="32"/>
        <v>0.8803595206391478</v>
      </c>
      <c r="D69" s="263">
        <f t="shared" si="32"/>
        <v>0.8846702012428026</v>
      </c>
      <c r="E69" s="263">
        <f t="shared" si="32"/>
        <v>0.91622384378734334</v>
      </c>
      <c r="F69" s="263">
        <f t="shared" si="32"/>
        <v>0.89848395442785167</v>
      </c>
      <c r="G69" s="263">
        <f t="shared" si="32"/>
        <v>0.88421795776907774</v>
      </c>
      <c r="H69" s="263">
        <f t="shared" si="32"/>
        <v>0.89302880398554541</v>
      </c>
      <c r="I69" s="263">
        <f t="shared" si="32"/>
        <v>0.90494224022780978</v>
      </c>
      <c r="J69" s="263">
        <f t="shared" si="32"/>
        <v>0.91343503032530782</v>
      </c>
      <c r="K69" s="263">
        <f t="shared" si="32"/>
        <v>0.91766870017979441</v>
      </c>
      <c r="L69" s="263">
        <f t="shared" si="32"/>
        <v>0.92312721676730847</v>
      </c>
      <c r="M69" s="263">
        <f t="shared" si="32"/>
        <v>0.92614618520034364</v>
      </c>
      <c r="N69" s="263">
        <f t="shared" si="32"/>
        <v>0.93528436372765655</v>
      </c>
      <c r="O69" s="263">
        <f t="shared" si="32"/>
        <v>0.94065010103470448</v>
      </c>
      <c r="P69" s="263">
        <f t="shared" si="32"/>
        <v>0.94427808108850364</v>
      </c>
      <c r="Q69" s="263">
        <f t="shared" si="32"/>
        <v>0.94666332605856651</v>
      </c>
      <c r="R69" s="263">
        <f t="shared" si="32"/>
        <v>0.94855519726934245</v>
      </c>
      <c r="S69" s="263">
        <f t="shared" si="32"/>
        <v>0.94944541553664674</v>
      </c>
      <c r="T69" s="263">
        <f t="shared" si="32"/>
        <v>0.94992829519258626</v>
      </c>
      <c r="U69" s="263">
        <f t="shared" si="32"/>
        <v>0.95002606097407316</v>
      </c>
      <c r="W69" s="263">
        <f t="shared" ref="W69:AA70" si="33">IF(W$58=0,0,W55/W$58)</f>
        <v>0.89038828478815601</v>
      </c>
      <c r="X69" s="263">
        <f t="shared" si="33"/>
        <v>0.89599329437153252</v>
      </c>
      <c r="Y69" s="263">
        <f t="shared" si="33"/>
        <v>0.92077576979463716</v>
      </c>
      <c r="Z69" s="263">
        <f t="shared" si="33"/>
        <v>0.94223398114238077</v>
      </c>
      <c r="AA69" s="263">
        <f t="shared" si="33"/>
        <v>0.94951527052813556</v>
      </c>
    </row>
    <row r="70" spans="1:29" s="82" customFormat="1" ht="15" customHeight="1" x14ac:dyDescent="0.15">
      <c r="A70" s="80" t="s">
        <v>875</v>
      </c>
      <c r="B70" s="263">
        <f t="shared" ref="B70:U70" si="34">IF(B$58=0,0,B56/B$58)</f>
        <v>0.1293580095223468</v>
      </c>
      <c r="C70" s="263">
        <f t="shared" si="34"/>
        <v>0.1196404793608522</v>
      </c>
      <c r="D70" s="263">
        <f t="shared" si="34"/>
        <v>0.11532979875719743</v>
      </c>
      <c r="E70" s="263">
        <f t="shared" si="34"/>
        <v>8.3776156212656688E-2</v>
      </c>
      <c r="F70" s="263">
        <f t="shared" si="34"/>
        <v>0.10151604557214834</v>
      </c>
      <c r="G70" s="263">
        <f t="shared" si="34"/>
        <v>0.11578204223092228</v>
      </c>
      <c r="H70" s="263">
        <f t="shared" si="34"/>
        <v>0.10697119601445462</v>
      </c>
      <c r="I70" s="263">
        <f t="shared" si="34"/>
        <v>9.5057759772190178E-2</v>
      </c>
      <c r="J70" s="263">
        <f t="shared" si="34"/>
        <v>8.6564969674692155E-2</v>
      </c>
      <c r="K70" s="263">
        <f t="shared" si="34"/>
        <v>8.2331299820205567E-2</v>
      </c>
      <c r="L70" s="263">
        <f t="shared" si="34"/>
        <v>7.6757742746554156E-2</v>
      </c>
      <c r="M70" s="263">
        <f t="shared" si="34"/>
        <v>7.3709019444369167E-2</v>
      </c>
      <c r="N70" s="263">
        <f t="shared" si="34"/>
        <v>6.4360947525511136E-2</v>
      </c>
      <c r="O70" s="263">
        <f t="shared" si="34"/>
        <v>5.8757825131341729E-2</v>
      </c>
      <c r="P70" s="263">
        <f t="shared" si="34"/>
        <v>5.5157551668361164E-2</v>
      </c>
      <c r="Q70" s="263">
        <f t="shared" si="34"/>
        <v>5.3076753711664822E-2</v>
      </c>
      <c r="R70" s="263">
        <f t="shared" si="34"/>
        <v>5.1027317196824337E-2</v>
      </c>
      <c r="S70" s="263">
        <f t="shared" si="34"/>
        <v>5.0032495054439345E-2</v>
      </c>
      <c r="T70" s="263">
        <f t="shared" si="34"/>
        <v>4.9637667705023404E-2</v>
      </c>
      <c r="U70" s="263">
        <f t="shared" si="34"/>
        <v>4.9606274645710484E-2</v>
      </c>
      <c r="W70" s="263">
        <f t="shared" si="33"/>
        <v>0.10961171521184394</v>
      </c>
      <c r="X70" s="263">
        <f t="shared" si="33"/>
        <v>0.10400670562846744</v>
      </c>
      <c r="Y70" s="263">
        <f t="shared" si="33"/>
        <v>7.91507710988434E-2</v>
      </c>
      <c r="Z70" s="263">
        <f t="shared" si="33"/>
        <v>5.7326563304114043E-2</v>
      </c>
      <c r="AA70" s="263">
        <f t="shared" si="33"/>
        <v>5.0050476443205781E-2</v>
      </c>
    </row>
    <row r="72" spans="1:29" ht="15" customHeight="1" x14ac:dyDescent="0.15">
      <c r="A72" s="59" t="s">
        <v>876</v>
      </c>
      <c r="B72" s="114"/>
      <c r="C72" s="114"/>
      <c r="D72" s="114"/>
      <c r="E72" s="114"/>
      <c r="F72" s="114"/>
      <c r="G72" s="114"/>
      <c r="H72" s="114"/>
      <c r="I72" s="114"/>
      <c r="J72" s="114"/>
      <c r="K72" s="114"/>
      <c r="L72" s="114"/>
      <c r="M72" s="114"/>
      <c r="N72" s="114"/>
      <c r="O72" s="114"/>
      <c r="P72" s="114"/>
      <c r="Q72" s="114"/>
      <c r="R72" s="114"/>
      <c r="S72" s="114"/>
      <c r="T72" s="114"/>
      <c r="U72" s="114"/>
      <c r="V72" s="211"/>
      <c r="W72" s="114"/>
      <c r="X72" s="114"/>
      <c r="Y72" s="114"/>
      <c r="Z72" s="114"/>
      <c r="AA72" s="114"/>
      <c r="AB72" s="114"/>
      <c r="AC72" s="114"/>
    </row>
    <row r="73" spans="1:29" ht="15" customHeight="1" x14ac:dyDescent="0.15">
      <c r="A73" s="57" t="s">
        <v>877</v>
      </c>
      <c r="B73" s="245">
        <f>Raw_Data!B78</f>
        <v>17047</v>
      </c>
      <c r="C73" s="245">
        <f>Raw_Data!C78</f>
        <v>18848</v>
      </c>
      <c r="D73" s="245">
        <f>Raw_Data!D78</f>
        <v>22081</v>
      </c>
      <c r="E73" s="245">
        <f>Raw_Data!E78</f>
        <v>24898</v>
      </c>
      <c r="F73" s="245">
        <f>Raw_Data!F78</f>
        <v>22054</v>
      </c>
      <c r="G73" s="245">
        <f>Raw_Data!G78</f>
        <v>28363</v>
      </c>
      <c r="H73" s="245">
        <f>Raw_Data!H78</f>
        <v>35721</v>
      </c>
      <c r="I73" s="245">
        <f>Raw_Data!I78</f>
        <v>44002</v>
      </c>
      <c r="J73" s="245">
        <f>Raw_Data!J78</f>
        <v>53335</v>
      </c>
      <c r="K73" s="245">
        <f>Raw_Data!K78</f>
        <v>62696</v>
      </c>
      <c r="L73" s="77">
        <f>IS!L13-L74-L75</f>
        <v>71342.220542335999</v>
      </c>
      <c r="M73" s="77">
        <f>IS!M13-M74-M75</f>
        <v>74555.173666597198</v>
      </c>
      <c r="N73" s="77">
        <f>IS!N13-N74-N75</f>
        <v>91580.694230277906</v>
      </c>
      <c r="O73" s="77">
        <f>IS!O13-O74-O75</f>
        <v>106343.61254268581</v>
      </c>
      <c r="P73" s="77">
        <f>IS!P13-P74-P75</f>
        <v>119498.14208195188</v>
      </c>
      <c r="Q73" s="77">
        <f>IS!Q13-Q74-Q75</f>
        <v>130672.22893154285</v>
      </c>
      <c r="R73" s="77">
        <f>IS!R13-R74-R75</f>
        <v>141200.8238989489</v>
      </c>
      <c r="S73" s="77">
        <f>IS!S13-S74-S75</f>
        <v>148879.95920976851</v>
      </c>
      <c r="T73" s="77">
        <f>IS!T13-T74-T75</f>
        <v>155162.07934775174</v>
      </c>
      <c r="U73" s="77">
        <f>IS!U13-U74-U75</f>
        <v>160047.46405516748</v>
      </c>
      <c r="W73" s="77">
        <f>SUM(B73:E73)</f>
        <v>82874</v>
      </c>
      <c r="X73" s="77">
        <f>SUM(F73:I73)</f>
        <v>130140</v>
      </c>
      <c r="Y73" s="77">
        <f>SUM(J73:M73)</f>
        <v>261928.3942089332</v>
      </c>
      <c r="Z73" s="77">
        <f>SUM(N73:Q73)</f>
        <v>448094.67778645846</v>
      </c>
      <c r="AA73" s="77">
        <f>SUM(R73:U73)</f>
        <v>605290.32651163661</v>
      </c>
      <c r="AB73" s="58" t="s">
        <v>878</v>
      </c>
    </row>
    <row r="74" spans="1:29" ht="15" customHeight="1" x14ac:dyDescent="0.15">
      <c r="A74" s="57" t="s">
        <v>879</v>
      </c>
      <c r="B74" s="245">
        <f>Raw_Data!B79</f>
        <v>1241</v>
      </c>
      <c r="C74" s="245">
        <f>Raw_Data!C79</f>
        <v>1369</v>
      </c>
      <c r="D74" s="245">
        <f>Raw_Data!D79</f>
        <v>1502</v>
      </c>
      <c r="E74" s="245">
        <f>Raw_Data!E79</f>
        <v>974</v>
      </c>
      <c r="F74" s="245">
        <f>Raw_Data!F79</f>
        <v>1640</v>
      </c>
      <c r="G74" s="245">
        <f>Raw_Data!G79</f>
        <v>2242</v>
      </c>
      <c r="H74" s="245">
        <f>Raw_Data!H79</f>
        <v>2546</v>
      </c>
      <c r="I74" s="245">
        <f>Raw_Data!I79</f>
        <v>2728</v>
      </c>
      <c r="J74" s="245">
        <f>Raw_Data!J79</f>
        <v>2941</v>
      </c>
      <c r="K74" s="245">
        <f>Raw_Data!K79</f>
        <v>3899</v>
      </c>
      <c r="L74" s="77">
        <f>L56*Assumptions!M29</f>
        <v>3534.2932312799994</v>
      </c>
      <c r="M74" s="77">
        <f>M56*Assumptions!N29</f>
        <v>3690.9531993599994</v>
      </c>
      <c r="N74" s="77">
        <f>N56*Assumptions!O29</f>
        <v>3884.0948118000001</v>
      </c>
      <c r="O74" s="77">
        <f>O56*Assumptions!P29</f>
        <v>3965.9688368400007</v>
      </c>
      <c r="P74" s="77">
        <f>P56*Assumptions!Q29</f>
        <v>4045.8165396334844</v>
      </c>
      <c r="Q74" s="77">
        <f>Q56*Assumptions!R29</f>
        <v>4239.4921182683129</v>
      </c>
      <c r="R74" s="77">
        <f>R56*Assumptions!S29</f>
        <v>4281.0110154885297</v>
      </c>
      <c r="S74" s="77">
        <f>S56*Assumptions!T29</f>
        <v>4425.1506433882805</v>
      </c>
      <c r="T74" s="77">
        <f>T56*Assumptions!U29</f>
        <v>4458.6666288588813</v>
      </c>
      <c r="U74" s="77">
        <f>U56*Assumptions!V29</f>
        <v>4603.5008468317965</v>
      </c>
      <c r="W74" s="77">
        <f>SUM(B74:E74)</f>
        <v>5086</v>
      </c>
      <c r="X74" s="77">
        <f>SUM(F74:I74)</f>
        <v>9156</v>
      </c>
      <c r="Y74" s="77">
        <f>SUM(J74:M74)</f>
        <v>14065.24643064</v>
      </c>
      <c r="Z74" s="77">
        <f>SUM(N74:Q74)</f>
        <v>16135.372306541798</v>
      </c>
      <c r="AA74" s="77">
        <f>SUM(R74:U74)</f>
        <v>17768.329134567488</v>
      </c>
      <c r="AB74" s="58" t="s">
        <v>880</v>
      </c>
    </row>
    <row r="75" spans="1:29" ht="15" customHeight="1" x14ac:dyDescent="0.15">
      <c r="A75" s="256" t="s">
        <v>881</v>
      </c>
      <c r="B75" s="257">
        <f>Raw_Data!B80</f>
        <v>-1379</v>
      </c>
      <c r="C75" s="257">
        <f>Raw_Data!C80</f>
        <v>-1575</v>
      </c>
      <c r="D75" s="257">
        <f>Raw_Data!D80</f>
        <v>-1714</v>
      </c>
      <c r="E75" s="257">
        <f>Raw_Data!E80</f>
        <v>-1838</v>
      </c>
      <c r="F75" s="257">
        <f>Raw_Data!F80</f>
        <v>-2056</v>
      </c>
      <c r="G75" s="257">
        <f>Raw_Data!G80</f>
        <v>-2165</v>
      </c>
      <c r="H75" s="257">
        <f>Raw_Data!H80</f>
        <v>-2257</v>
      </c>
      <c r="I75" s="257">
        <f>Raw_Data!I80</f>
        <v>-2431</v>
      </c>
      <c r="J75" s="257">
        <f>Raw_Data!J80</f>
        <v>-2740</v>
      </c>
      <c r="K75" s="257">
        <f>Raw_Data!K80</f>
        <v>-2861</v>
      </c>
      <c r="L75" s="258">
        <f t="shared" ref="L75:U75" si="35">L98</f>
        <v>-2950</v>
      </c>
      <c r="M75" s="258">
        <f t="shared" si="35"/>
        <v>-3030</v>
      </c>
      <c r="N75" s="258">
        <f t="shared" si="35"/>
        <v>-3120</v>
      </c>
      <c r="O75" s="258">
        <f t="shared" si="35"/>
        <v>-3210</v>
      </c>
      <c r="P75" s="258">
        <f t="shared" si="35"/>
        <v>-3300</v>
      </c>
      <c r="Q75" s="258">
        <f t="shared" si="35"/>
        <v>-3390</v>
      </c>
      <c r="R75" s="258">
        <f t="shared" si="35"/>
        <v>-3480</v>
      </c>
      <c r="S75" s="258">
        <f t="shared" si="35"/>
        <v>-3570</v>
      </c>
      <c r="T75" s="258">
        <f t="shared" si="35"/>
        <v>-3660</v>
      </c>
      <c r="U75" s="258">
        <f t="shared" si="35"/>
        <v>-3750</v>
      </c>
      <c r="W75" s="258">
        <f>SUM(B75:E75)</f>
        <v>-6506</v>
      </c>
      <c r="X75" s="258">
        <f>SUM(F75:I75)</f>
        <v>-8909</v>
      </c>
      <c r="Y75" s="258">
        <f>SUM(J75:M75)</f>
        <v>-11581</v>
      </c>
      <c r="Z75" s="258">
        <f>SUM(N75:Q75)</f>
        <v>-13020</v>
      </c>
      <c r="AA75" s="258">
        <f>SUM(R75:U75)</f>
        <v>-14460</v>
      </c>
      <c r="AB75" s="58" t="s">
        <v>882</v>
      </c>
    </row>
    <row r="76" spans="1:29" ht="15" customHeight="1" x14ac:dyDescent="0.15">
      <c r="A76" s="56" t="s">
        <v>883</v>
      </c>
      <c r="B76" s="260">
        <f t="shared" ref="B76:U76" si="36">SUM(B73:B75)</f>
        <v>16909</v>
      </c>
      <c r="C76" s="260">
        <f t="shared" si="36"/>
        <v>18642</v>
      </c>
      <c r="D76" s="260">
        <f t="shared" si="36"/>
        <v>21869</v>
      </c>
      <c r="E76" s="260">
        <f t="shared" si="36"/>
        <v>24034</v>
      </c>
      <c r="F76" s="260">
        <f t="shared" si="36"/>
        <v>21638</v>
      </c>
      <c r="G76" s="260">
        <f t="shared" si="36"/>
        <v>28440</v>
      </c>
      <c r="H76" s="260">
        <f t="shared" si="36"/>
        <v>36010</v>
      </c>
      <c r="I76" s="260">
        <f t="shared" si="36"/>
        <v>44299</v>
      </c>
      <c r="J76" s="260">
        <f t="shared" si="36"/>
        <v>53536</v>
      </c>
      <c r="K76" s="260">
        <f t="shared" si="36"/>
        <v>63734</v>
      </c>
      <c r="L76" s="260">
        <f t="shared" si="36"/>
        <v>71926.513773615996</v>
      </c>
      <c r="M76" s="260">
        <f t="shared" si="36"/>
        <v>75216.126865957194</v>
      </c>
      <c r="N76" s="260">
        <f t="shared" si="36"/>
        <v>92344.7890420779</v>
      </c>
      <c r="O76" s="260">
        <f t="shared" si="36"/>
        <v>107099.5813795258</v>
      </c>
      <c r="P76" s="260">
        <f t="shared" si="36"/>
        <v>120243.95862158536</v>
      </c>
      <c r="Q76" s="260">
        <f t="shared" si="36"/>
        <v>131521.72104981117</v>
      </c>
      <c r="R76" s="260">
        <f t="shared" si="36"/>
        <v>142001.83491443744</v>
      </c>
      <c r="S76" s="260">
        <f t="shared" si="36"/>
        <v>149735.10985315678</v>
      </c>
      <c r="T76" s="260">
        <f t="shared" si="36"/>
        <v>155960.74597661063</v>
      </c>
      <c r="U76" s="260">
        <f t="shared" si="36"/>
        <v>160900.96490199928</v>
      </c>
      <c r="V76" s="56"/>
      <c r="W76" s="260">
        <f>SUM(W73:W75)</f>
        <v>81454</v>
      </c>
      <c r="X76" s="260">
        <f>SUM(X73:X75)</f>
        <v>130387</v>
      </c>
      <c r="Y76" s="260">
        <f>SUM(Y73:Y75)</f>
        <v>264412.64063957322</v>
      </c>
      <c r="Z76" s="260">
        <f>SUM(Z73:Z75)</f>
        <v>451210.05009300023</v>
      </c>
      <c r="AA76" s="260">
        <f>SUM(AA73:AA75)</f>
        <v>608598.65564620413</v>
      </c>
      <c r="AB76" s="261" t="s">
        <v>884</v>
      </c>
      <c r="AC76" s="262"/>
    </row>
    <row r="78" spans="1:29" s="82" customFormat="1" ht="15" customHeight="1" x14ac:dyDescent="0.15">
      <c r="A78" s="80" t="s">
        <v>885</v>
      </c>
      <c r="B78" s="263">
        <f t="shared" ref="B78:U78" si="37">IF(B55=0,0,B73/B55)</f>
        <v>0.75179713340683574</v>
      </c>
      <c r="C78" s="263">
        <f t="shared" si="37"/>
        <v>0.71269757241170684</v>
      </c>
      <c r="D78" s="263">
        <f t="shared" si="37"/>
        <v>0.71146410619925249</v>
      </c>
      <c r="E78" s="263">
        <f t="shared" si="37"/>
        <v>0.69092019092019097</v>
      </c>
      <c r="F78" s="263">
        <f t="shared" si="37"/>
        <v>0.55707393467882493</v>
      </c>
      <c r="G78" s="263">
        <f t="shared" si="37"/>
        <v>0.68624035227795122</v>
      </c>
      <c r="H78" s="263">
        <f t="shared" si="37"/>
        <v>0.70167753594719884</v>
      </c>
      <c r="I78" s="263">
        <f t="shared" si="37"/>
        <v>0.71372727125269664</v>
      </c>
      <c r="J78" s="263">
        <f t="shared" si="37"/>
        <v>0.7154258886653253</v>
      </c>
      <c r="K78" s="263">
        <f t="shared" si="37"/>
        <v>0.71004201633087582</v>
      </c>
      <c r="L78" s="263">
        <f t="shared" si="37"/>
        <v>0.70494295281327302</v>
      </c>
      <c r="M78" s="263">
        <f t="shared" si="37"/>
        <v>0.6751956407625751</v>
      </c>
      <c r="N78" s="263">
        <f t="shared" si="37"/>
        <v>0.68146280191249831</v>
      </c>
      <c r="O78" s="263">
        <f t="shared" si="37"/>
        <v>0.68672613322456488</v>
      </c>
      <c r="P78" s="263">
        <f t="shared" si="37"/>
        <v>0.69011271726265</v>
      </c>
      <c r="Q78" s="263">
        <f t="shared" si="37"/>
        <v>0.69125495608321941</v>
      </c>
      <c r="R78" s="263">
        <f t="shared" si="37"/>
        <v>0.69198331050027273</v>
      </c>
      <c r="S78" s="263">
        <f t="shared" si="37"/>
        <v>0.69144071277679742</v>
      </c>
      <c r="T78" s="263">
        <f t="shared" si="37"/>
        <v>0.691010631530663</v>
      </c>
      <c r="U78" s="263">
        <f t="shared" si="37"/>
        <v>0.68983505650310972</v>
      </c>
      <c r="W78" s="263">
        <f t="shared" ref="W78:AA79" si="38">IF(W55=0,0,W73/W55)</f>
        <v>0.71324434346303134</v>
      </c>
      <c r="X78" s="263">
        <f t="shared" si="38"/>
        <v>0.67263113826306731</v>
      </c>
      <c r="Y78" s="263">
        <f t="shared" si="38"/>
        <v>0.69946068280839035</v>
      </c>
      <c r="Z78" s="263">
        <f t="shared" si="38"/>
        <v>0.68785470282513039</v>
      </c>
      <c r="AA78" s="263">
        <f t="shared" si="38"/>
        <v>0.69103156796295673</v>
      </c>
    </row>
    <row r="79" spans="1:29" s="82" customFormat="1" ht="15" customHeight="1" x14ac:dyDescent="0.15">
      <c r="A79" s="80" t="s">
        <v>886</v>
      </c>
      <c r="B79" s="263">
        <f t="shared" ref="B79:U79" si="39">IF(B56=0,0,B74/B56)</f>
        <v>0.36835856337192047</v>
      </c>
      <c r="C79" s="263">
        <f t="shared" si="39"/>
        <v>0.38091263216471899</v>
      </c>
      <c r="D79" s="263">
        <f t="shared" si="39"/>
        <v>0.37123084527928818</v>
      </c>
      <c r="E79" s="263">
        <f t="shared" si="39"/>
        <v>0.29559939301972687</v>
      </c>
      <c r="F79" s="263">
        <f t="shared" si="39"/>
        <v>0.36664431030628214</v>
      </c>
      <c r="G79" s="263">
        <f t="shared" si="39"/>
        <v>0.41426459719142644</v>
      </c>
      <c r="H79" s="263">
        <f t="shared" si="39"/>
        <v>0.41751393899639228</v>
      </c>
      <c r="I79" s="263">
        <f t="shared" si="39"/>
        <v>0.42124768375540456</v>
      </c>
      <c r="J79" s="263">
        <f t="shared" si="39"/>
        <v>0.41627742392073602</v>
      </c>
      <c r="K79" s="263">
        <f t="shared" si="39"/>
        <v>0.49217369351173945</v>
      </c>
      <c r="L79" s="263">
        <f t="shared" si="39"/>
        <v>0.42</v>
      </c>
      <c r="M79" s="263">
        <f t="shared" si="39"/>
        <v>0.42</v>
      </c>
      <c r="N79" s="263">
        <f t="shared" si="39"/>
        <v>0.42</v>
      </c>
      <c r="O79" s="263">
        <f t="shared" si="39"/>
        <v>0.41</v>
      </c>
      <c r="P79" s="263">
        <f t="shared" si="39"/>
        <v>0.4</v>
      </c>
      <c r="Q79" s="263">
        <f t="shared" si="39"/>
        <v>0.39999999999999997</v>
      </c>
      <c r="R79" s="263">
        <f t="shared" si="39"/>
        <v>0.39</v>
      </c>
      <c r="S79" s="263">
        <f t="shared" si="39"/>
        <v>0.39</v>
      </c>
      <c r="T79" s="263">
        <f t="shared" si="39"/>
        <v>0.38</v>
      </c>
      <c r="U79" s="263">
        <f t="shared" si="39"/>
        <v>0.38</v>
      </c>
      <c r="W79" s="263">
        <f t="shared" si="38"/>
        <v>0.35556487695749439</v>
      </c>
      <c r="X79" s="263">
        <f t="shared" si="38"/>
        <v>0.40767620998263504</v>
      </c>
      <c r="Y79" s="263">
        <f t="shared" si="38"/>
        <v>0.43694503098664372</v>
      </c>
      <c r="Z79" s="263">
        <f t="shared" si="38"/>
        <v>0.4071071893398282</v>
      </c>
      <c r="AA79" s="263">
        <f t="shared" si="38"/>
        <v>0.38483492800783142</v>
      </c>
    </row>
    <row r="80" spans="1:29" s="82" customFormat="1" ht="15" customHeight="1" x14ac:dyDescent="0.15">
      <c r="A80" s="80" t="s">
        <v>887</v>
      </c>
      <c r="B80" s="263">
        <f t="shared" ref="B80:U80" si="40">IF(B58=0,0,B76/B58)</f>
        <v>0.64924742743050223</v>
      </c>
      <c r="C80" s="263">
        <f t="shared" si="40"/>
        <v>0.62057256990679099</v>
      </c>
      <c r="D80" s="263">
        <f t="shared" si="40"/>
        <v>0.62336810900176731</v>
      </c>
      <c r="E80" s="263">
        <f t="shared" si="40"/>
        <v>0.61107014822913219</v>
      </c>
      <c r="F80" s="263">
        <f t="shared" si="40"/>
        <v>0.49108074985248057</v>
      </c>
      <c r="G80" s="263">
        <f t="shared" si="40"/>
        <v>0.60843334830883766</v>
      </c>
      <c r="H80" s="263">
        <f t="shared" si="40"/>
        <v>0.63168789250254365</v>
      </c>
      <c r="I80" s="263">
        <f t="shared" si="40"/>
        <v>0.65024146080115075</v>
      </c>
      <c r="J80" s="263">
        <f t="shared" si="40"/>
        <v>0.65595785088525393</v>
      </c>
      <c r="K80" s="263">
        <f t="shared" si="40"/>
        <v>0.66237100009353467</v>
      </c>
      <c r="L80" s="263">
        <f t="shared" si="40"/>
        <v>0.65608168916270992</v>
      </c>
      <c r="M80" s="263">
        <f t="shared" si="40"/>
        <v>0.63087359726880565</v>
      </c>
      <c r="N80" s="263">
        <f t="shared" si="40"/>
        <v>0.64267926817049992</v>
      </c>
      <c r="O80" s="263">
        <f t="shared" si="40"/>
        <v>0.65056103076553284</v>
      </c>
      <c r="P80" s="263">
        <f t="shared" si="40"/>
        <v>0.65572546807366705</v>
      </c>
      <c r="Q80" s="263">
        <f t="shared" si="40"/>
        <v>0.65863983714601226</v>
      </c>
      <c r="R80" s="263">
        <f t="shared" si="40"/>
        <v>0.66010793528277123</v>
      </c>
      <c r="S80" s="263">
        <f t="shared" si="40"/>
        <v>0.66025599607891017</v>
      </c>
      <c r="T80" s="263">
        <f t="shared" si="40"/>
        <v>0.65978929682895637</v>
      </c>
      <c r="U80" s="263">
        <f t="shared" si="40"/>
        <v>0.65885619098972958</v>
      </c>
      <c r="W80" s="263">
        <f>IF(W58=0,0,W76/W58)</f>
        <v>0.62418293140838488</v>
      </c>
      <c r="X80" s="263">
        <f>IF(X58=0,0,X76/X58)</f>
        <v>0.60381683631412719</v>
      </c>
      <c r="Y80" s="263">
        <f>IF(Y58=0,0,Y76/Y58)</f>
        <v>0.65015487418786189</v>
      </c>
      <c r="Z80" s="263">
        <f>IF(Z58=0,0,Z76/Z58)</f>
        <v>0.65262612131982434</v>
      </c>
      <c r="AA80" s="263">
        <f>IF(AA58=0,0,AA76/AA58)</f>
        <v>0.6597313113433092</v>
      </c>
    </row>
    <row r="82" spans="1:29" s="82" customFormat="1" ht="15" customHeight="1" x14ac:dyDescent="0.15">
      <c r="A82" s="80" t="s">
        <v>888</v>
      </c>
      <c r="C82" s="263">
        <f t="shared" ref="C82:U82" si="41">C78-B78</f>
        <v>-3.9099560995128901E-2</v>
      </c>
      <c r="D82" s="263">
        <f t="shared" si="41"/>
        <v>-1.2334662124543483E-3</v>
      </c>
      <c r="E82" s="263">
        <f t="shared" si="41"/>
        <v>-2.054391527906152E-2</v>
      </c>
      <c r="F82" s="263">
        <f t="shared" si="41"/>
        <v>-0.13384625624136604</v>
      </c>
      <c r="G82" s="263">
        <f t="shared" si="41"/>
        <v>0.12916641759912628</v>
      </c>
      <c r="H82" s="263">
        <f t="shared" si="41"/>
        <v>1.5437183669247623E-2</v>
      </c>
      <c r="I82" s="263">
        <f t="shared" si="41"/>
        <v>1.20497353054978E-2</v>
      </c>
      <c r="J82" s="263">
        <f t="shared" si="41"/>
        <v>1.6986174126286668E-3</v>
      </c>
      <c r="K82" s="263">
        <f t="shared" si="41"/>
        <v>-5.3838723344494799E-3</v>
      </c>
      <c r="L82" s="263">
        <f t="shared" si="41"/>
        <v>-5.0990635176028087E-3</v>
      </c>
      <c r="M82" s="263">
        <f t="shared" si="41"/>
        <v>-2.9747312050697916E-2</v>
      </c>
      <c r="N82" s="263">
        <f t="shared" si="41"/>
        <v>6.2671611499232061E-3</v>
      </c>
      <c r="O82" s="263">
        <f t="shared" si="41"/>
        <v>5.263331312066577E-3</v>
      </c>
      <c r="P82" s="263">
        <f t="shared" si="41"/>
        <v>3.3865840380851164E-3</v>
      </c>
      <c r="Q82" s="263">
        <f t="shared" si="41"/>
        <v>1.1422388205694078E-3</v>
      </c>
      <c r="R82" s="263">
        <f t="shared" si="41"/>
        <v>7.2835441705332293E-4</v>
      </c>
      <c r="S82" s="263">
        <f t="shared" si="41"/>
        <v>-5.4259772347531321E-4</v>
      </c>
      <c r="T82" s="263">
        <f t="shared" si="41"/>
        <v>-4.3008124613441723E-4</v>
      </c>
      <c r="U82" s="263">
        <f t="shared" si="41"/>
        <v>-1.1755750275532773E-3</v>
      </c>
      <c r="X82" s="263">
        <f t="shared" ref="X82:AA83" si="42">X78-W78</f>
        <v>-4.0613205199964031E-2</v>
      </c>
      <c r="Y82" s="263">
        <f t="shared" si="42"/>
        <v>2.6829544545323047E-2</v>
      </c>
      <c r="Z82" s="263">
        <f t="shared" si="42"/>
        <v>-1.1605979983259962E-2</v>
      </c>
      <c r="AA82" s="263">
        <f t="shared" si="42"/>
        <v>3.1768651378263346E-3</v>
      </c>
      <c r="AB82" s="80" t="s">
        <v>889</v>
      </c>
    </row>
    <row r="83" spans="1:29" s="82" customFormat="1" ht="15" customHeight="1" x14ac:dyDescent="0.15">
      <c r="A83" s="80" t="s">
        <v>890</v>
      </c>
      <c r="C83" s="263">
        <f t="shared" ref="C83:U83" si="43">C79-B79</f>
        <v>1.2554068792798523E-2</v>
      </c>
      <c r="D83" s="263">
        <f t="shared" si="43"/>
        <v>-9.6817868854308098E-3</v>
      </c>
      <c r="E83" s="263">
        <f t="shared" si="43"/>
        <v>-7.5631452259561305E-2</v>
      </c>
      <c r="F83" s="263">
        <f t="shared" si="43"/>
        <v>7.1044917286555265E-2</v>
      </c>
      <c r="G83" s="263">
        <f t="shared" si="43"/>
        <v>4.7620286885144303E-2</v>
      </c>
      <c r="H83" s="263">
        <f t="shared" si="43"/>
        <v>3.2493418049658329E-3</v>
      </c>
      <c r="I83" s="263">
        <f t="shared" si="43"/>
        <v>3.7337447590122808E-3</v>
      </c>
      <c r="J83" s="263">
        <f t="shared" si="43"/>
        <v>-4.9702598346685334E-3</v>
      </c>
      <c r="K83" s="263">
        <f t="shared" si="43"/>
        <v>7.5896269591003429E-2</v>
      </c>
      <c r="L83" s="263">
        <f t="shared" si="43"/>
        <v>-7.2173693511739467E-2</v>
      </c>
      <c r="M83" s="263">
        <f t="shared" si="43"/>
        <v>0</v>
      </c>
      <c r="N83" s="263">
        <f t="shared" si="43"/>
        <v>0</v>
      </c>
      <c r="O83" s="263">
        <f t="shared" si="43"/>
        <v>-1.0000000000000009E-2</v>
      </c>
      <c r="P83" s="263">
        <f t="shared" si="43"/>
        <v>-9.9999999999999534E-3</v>
      </c>
      <c r="Q83" s="263">
        <f t="shared" si="43"/>
        <v>0</v>
      </c>
      <c r="R83" s="263">
        <f t="shared" si="43"/>
        <v>-9.9999999999999534E-3</v>
      </c>
      <c r="S83" s="263">
        <f t="shared" si="43"/>
        <v>0</v>
      </c>
      <c r="T83" s="263">
        <f t="shared" si="43"/>
        <v>-1.0000000000000009E-2</v>
      </c>
      <c r="U83" s="263">
        <f t="shared" si="43"/>
        <v>0</v>
      </c>
      <c r="X83" s="263">
        <f t="shared" si="42"/>
        <v>5.2111333025140649E-2</v>
      </c>
      <c r="Y83" s="263">
        <f t="shared" si="42"/>
        <v>2.9268821004008683E-2</v>
      </c>
      <c r="Z83" s="263">
        <f t="shared" si="42"/>
        <v>-2.9837841646815522E-2</v>
      </c>
      <c r="AA83" s="263">
        <f t="shared" si="42"/>
        <v>-2.2272261331996779E-2</v>
      </c>
    </row>
    <row r="84" spans="1:29" s="82" customFormat="1" ht="15" customHeight="1" x14ac:dyDescent="0.15">
      <c r="A84" s="80"/>
      <c r="C84" s="263"/>
      <c r="D84" s="263"/>
      <c r="E84" s="263"/>
      <c r="F84" s="263"/>
      <c r="G84" s="263"/>
      <c r="H84" s="263"/>
      <c r="I84" s="263"/>
      <c r="J84" s="263"/>
      <c r="K84" s="263"/>
      <c r="L84" s="263"/>
      <c r="M84" s="263"/>
      <c r="N84" s="263"/>
      <c r="O84" s="263"/>
      <c r="P84" s="263"/>
      <c r="Q84" s="263"/>
      <c r="R84" s="263"/>
      <c r="S84" s="263"/>
      <c r="T84" s="263"/>
      <c r="U84" s="263"/>
      <c r="X84" s="263"/>
      <c r="Y84" s="263"/>
      <c r="Z84" s="263"/>
      <c r="AA84" s="263"/>
    </row>
    <row r="85" spans="1:29" s="82" customFormat="1" ht="15" customHeight="1" x14ac:dyDescent="0.15">
      <c r="A85" s="80" t="s">
        <v>891</v>
      </c>
      <c r="F85" s="263">
        <f t="shared" ref="F85:U86" si="44">IF(B73=0,0,(F73-B73)/B73)</f>
        <v>0.29371736962515399</v>
      </c>
      <c r="G85" s="263">
        <f t="shared" si="44"/>
        <v>0.5048280984719864</v>
      </c>
      <c r="H85" s="263">
        <f t="shared" si="44"/>
        <v>0.617725646483402</v>
      </c>
      <c r="I85" s="263">
        <f t="shared" si="44"/>
        <v>0.76729054542533537</v>
      </c>
      <c r="J85" s="263">
        <f t="shared" si="44"/>
        <v>1.4183821528974336</v>
      </c>
      <c r="K85" s="263">
        <f t="shared" si="44"/>
        <v>1.2104854916616719</v>
      </c>
      <c r="L85" s="263">
        <f t="shared" si="44"/>
        <v>0.99720670032574676</v>
      </c>
      <c r="M85" s="263">
        <f t="shared" si="44"/>
        <v>0.69435874884317073</v>
      </c>
      <c r="N85" s="263">
        <f t="shared" si="44"/>
        <v>0.71708435793152536</v>
      </c>
      <c r="O85" s="263">
        <f t="shared" si="44"/>
        <v>0.69617858464153703</v>
      </c>
      <c r="P85" s="263">
        <f t="shared" si="44"/>
        <v>0.67499891611923024</v>
      </c>
      <c r="Q85" s="263">
        <f t="shared" si="44"/>
        <v>0.75269163097781988</v>
      </c>
      <c r="R85" s="263">
        <f t="shared" si="44"/>
        <v>0.54181866697692993</v>
      </c>
      <c r="S85" s="263">
        <f t="shared" si="44"/>
        <v>0.39998967168816862</v>
      </c>
      <c r="T85" s="263">
        <f t="shared" si="44"/>
        <v>0.2984476297660052</v>
      </c>
      <c r="U85" s="263">
        <f t="shared" si="44"/>
        <v>0.22480090348052348</v>
      </c>
      <c r="X85" s="263">
        <f t="shared" ref="X85:AA86" si="45">IF(W73=0,0,(X73-W73)/W73)</f>
        <v>0.57033569032507181</v>
      </c>
      <c r="Y85" s="263">
        <f t="shared" si="45"/>
        <v>1.0126663148066175</v>
      </c>
      <c r="Z85" s="263">
        <f t="shared" si="45"/>
        <v>0.71075258617828752</v>
      </c>
      <c r="AA85" s="263">
        <f t="shared" si="45"/>
        <v>0.35080900648431812</v>
      </c>
      <c r="AB85" s="80" t="s">
        <v>892</v>
      </c>
    </row>
    <row r="86" spans="1:29" s="82" customFormat="1" ht="15" customHeight="1" x14ac:dyDescent="0.15">
      <c r="A86" s="80" t="s">
        <v>893</v>
      </c>
      <c r="F86" s="263">
        <f t="shared" si="44"/>
        <v>0.32151490733279614</v>
      </c>
      <c r="G86" s="263">
        <f t="shared" si="44"/>
        <v>0.63769174579985388</v>
      </c>
      <c r="H86" s="263">
        <f t="shared" si="44"/>
        <v>0.6950732356857523</v>
      </c>
      <c r="I86" s="263">
        <f t="shared" si="44"/>
        <v>1.8008213552361396</v>
      </c>
      <c r="J86" s="263">
        <f t="shared" si="44"/>
        <v>0.79329268292682931</v>
      </c>
      <c r="K86" s="263">
        <f t="shared" si="44"/>
        <v>0.73907225691347012</v>
      </c>
      <c r="L86" s="263">
        <f t="shared" si="44"/>
        <v>0.38817487481539648</v>
      </c>
      <c r="M86" s="263">
        <f t="shared" si="44"/>
        <v>0.35298870944281502</v>
      </c>
      <c r="N86" s="263">
        <f t="shared" si="44"/>
        <v>0.32067147630057807</v>
      </c>
      <c r="O86" s="263">
        <f t="shared" si="44"/>
        <v>1.7175900702744468E-2</v>
      </c>
      <c r="P86" s="263">
        <f t="shared" si="44"/>
        <v>0.14473142857142862</v>
      </c>
      <c r="Q86" s="263">
        <f t="shared" si="44"/>
        <v>0.14861714285714284</v>
      </c>
      <c r="R86" s="263">
        <f t="shared" si="44"/>
        <v>0.1021901428571429</v>
      </c>
      <c r="S86" s="263">
        <f t="shared" si="44"/>
        <v>0.11578048780487799</v>
      </c>
      <c r="T86" s="263">
        <f t="shared" si="44"/>
        <v>0.10204369999999988</v>
      </c>
      <c r="U86" s="263">
        <f t="shared" si="44"/>
        <v>8.5861400000000157E-2</v>
      </c>
      <c r="X86" s="263">
        <f t="shared" si="45"/>
        <v>0.80023594180102242</v>
      </c>
      <c r="Y86" s="263">
        <f t="shared" si="45"/>
        <v>0.53617807237221493</v>
      </c>
      <c r="Z86" s="263">
        <f t="shared" si="45"/>
        <v>0.14718020662561565</v>
      </c>
      <c r="AA86" s="263">
        <f t="shared" si="45"/>
        <v>0.10120354194514847</v>
      </c>
    </row>
    <row r="87" spans="1:29" s="82" customFormat="1" ht="15" customHeight="1" x14ac:dyDescent="0.15">
      <c r="A87" s="80"/>
      <c r="F87" s="263"/>
      <c r="G87" s="263"/>
      <c r="H87" s="263"/>
      <c r="I87" s="263"/>
      <c r="J87" s="263"/>
      <c r="K87" s="263"/>
      <c r="L87" s="263"/>
      <c r="M87" s="263"/>
      <c r="N87" s="263"/>
      <c r="O87" s="263"/>
      <c r="P87" s="263"/>
      <c r="Q87" s="263"/>
      <c r="R87" s="263"/>
      <c r="S87" s="263"/>
      <c r="T87" s="263"/>
      <c r="U87" s="263"/>
      <c r="X87" s="263"/>
      <c r="Y87" s="263"/>
      <c r="Z87" s="263"/>
      <c r="AA87" s="263"/>
    </row>
    <row r="88" spans="1:29" s="82" customFormat="1" ht="15" customHeight="1" x14ac:dyDescent="0.15">
      <c r="A88" s="80" t="s">
        <v>894</v>
      </c>
      <c r="B88" s="263">
        <f t="shared" ref="B88:U88" si="46">IF((B73+B74)=0,0,B73/(B73+B74))</f>
        <v>0.93214129483814523</v>
      </c>
      <c r="C88" s="263">
        <f t="shared" si="46"/>
        <v>0.93228471088687737</v>
      </c>
      <c r="D88" s="263">
        <f t="shared" si="46"/>
        <v>0.93631005385235122</v>
      </c>
      <c r="E88" s="263">
        <f t="shared" si="46"/>
        <v>0.96235312306740883</v>
      </c>
      <c r="F88" s="263">
        <f t="shared" si="46"/>
        <v>0.93078416476745163</v>
      </c>
      <c r="G88" s="263">
        <f t="shared" si="46"/>
        <v>0.9267439960790721</v>
      </c>
      <c r="H88" s="263">
        <f t="shared" si="46"/>
        <v>0.93346747850628475</v>
      </c>
      <c r="I88" s="263">
        <f t="shared" si="46"/>
        <v>0.94162208431414507</v>
      </c>
      <c r="J88" s="263">
        <f t="shared" si="46"/>
        <v>0.94773971142227598</v>
      </c>
      <c r="K88" s="263">
        <f t="shared" si="46"/>
        <v>0.94145206096553791</v>
      </c>
      <c r="L88" s="263">
        <f t="shared" si="46"/>
        <v>0.95279837357324504</v>
      </c>
      <c r="M88" s="263">
        <f t="shared" si="46"/>
        <v>0.95282893419526138</v>
      </c>
      <c r="N88" s="263">
        <f t="shared" si="46"/>
        <v>0.95931384910840789</v>
      </c>
      <c r="O88" s="263">
        <f t="shared" si="46"/>
        <v>0.96404692332939901</v>
      </c>
      <c r="P88" s="263">
        <f t="shared" si="46"/>
        <v>0.96725200823436619</v>
      </c>
      <c r="Q88" s="263">
        <f t="shared" si="46"/>
        <v>0.96857580582859037</v>
      </c>
      <c r="R88" s="263">
        <f t="shared" si="46"/>
        <v>0.97057357010924195</v>
      </c>
      <c r="S88" s="263">
        <f t="shared" si="46"/>
        <v>0.97113500882242676</v>
      </c>
      <c r="T88" s="263">
        <f t="shared" si="46"/>
        <v>0.9720671232202347</v>
      </c>
      <c r="U88" s="263">
        <f t="shared" si="46"/>
        <v>0.97204085108415972</v>
      </c>
      <c r="W88" s="263">
        <f>IF((W73+W74)=0,0,W73/(W73+W74))</f>
        <v>0.94217826284674855</v>
      </c>
      <c r="X88" s="263">
        <f>IF((X73+X74)=0,0,X73/(X73+X74))</f>
        <v>0.93426946933149557</v>
      </c>
      <c r="Y88" s="263">
        <f>IF((Y73+Y74)=0,0,Y73/(Y73+Y74))</f>
        <v>0.94903778797929561</v>
      </c>
      <c r="Z88" s="263">
        <f>IF((Z73+Z74)=0,0,Z73/(Z73+Z74))</f>
        <v>0.965242723293528</v>
      </c>
      <c r="AA88" s="263">
        <f>IF((AA73+AA74)=0,0,AA73/(AA73+AA74))</f>
        <v>0.97148209245863193</v>
      </c>
      <c r="AB88" s="80" t="s">
        <v>895</v>
      </c>
    </row>
    <row r="89" spans="1:29" s="82" customFormat="1" ht="15" customHeight="1" x14ac:dyDescent="0.15">
      <c r="A89" s="80" t="s">
        <v>896</v>
      </c>
      <c r="B89" s="263">
        <f t="shared" ref="B89:U89" si="47">IF((B73+B74)=0,0,B74/(B73+B74))</f>
        <v>6.7858705161854771E-2</v>
      </c>
      <c r="C89" s="263">
        <f t="shared" si="47"/>
        <v>6.771528911312262E-2</v>
      </c>
      <c r="D89" s="263">
        <f t="shared" si="47"/>
        <v>6.3689946147648724E-2</v>
      </c>
      <c r="E89" s="263">
        <f t="shared" si="47"/>
        <v>3.7646876932591215E-2</v>
      </c>
      <c r="F89" s="263">
        <f t="shared" si="47"/>
        <v>6.9215835232548331E-2</v>
      </c>
      <c r="G89" s="263">
        <f t="shared" si="47"/>
        <v>7.3256003920927959E-2</v>
      </c>
      <c r="H89" s="263">
        <f t="shared" si="47"/>
        <v>6.6532521493715205E-2</v>
      </c>
      <c r="I89" s="263">
        <f t="shared" si="47"/>
        <v>5.837791568585491E-2</v>
      </c>
      <c r="J89" s="263">
        <f t="shared" si="47"/>
        <v>5.2260288577724072E-2</v>
      </c>
      <c r="K89" s="263">
        <f t="shared" si="47"/>
        <v>5.8547939034462045E-2</v>
      </c>
      <c r="L89" s="263">
        <f t="shared" si="47"/>
        <v>4.7201626426755024E-2</v>
      </c>
      <c r="M89" s="263">
        <f t="shared" si="47"/>
        <v>4.7171065804738697E-2</v>
      </c>
      <c r="N89" s="263">
        <f t="shared" si="47"/>
        <v>4.0686150891592214E-2</v>
      </c>
      <c r="O89" s="263">
        <f t="shared" si="47"/>
        <v>3.5953076670601082E-2</v>
      </c>
      <c r="P89" s="263">
        <f t="shared" si="47"/>
        <v>3.2747991765633831E-2</v>
      </c>
      <c r="Q89" s="263">
        <f t="shared" si="47"/>
        <v>3.142419417140959E-2</v>
      </c>
      <c r="R89" s="263">
        <f t="shared" si="47"/>
        <v>2.9426429890758048E-2</v>
      </c>
      <c r="S89" s="263">
        <f t="shared" si="47"/>
        <v>2.8864991177573327E-2</v>
      </c>
      <c r="T89" s="263">
        <f t="shared" si="47"/>
        <v>2.7932876779765293E-2</v>
      </c>
      <c r="U89" s="263">
        <f t="shared" si="47"/>
        <v>2.7959148915840323E-2</v>
      </c>
      <c r="W89" s="263">
        <f>IF((W73+W74)=0,0,W74/(W73+W74))</f>
        <v>5.7821737153251479E-2</v>
      </c>
      <c r="X89" s="263">
        <f>IF((X73+X74)=0,0,X74/(X73+X74))</f>
        <v>6.5730530668504483E-2</v>
      </c>
      <c r="Y89" s="263">
        <f>IF((Y73+Y74)=0,0,Y74/(Y73+Y74))</f>
        <v>5.0962212020704292E-2</v>
      </c>
      <c r="Z89" s="263">
        <f>IF((Z73+Z74)=0,0,Z74/(Z73+Z74))</f>
        <v>3.4757276706472065E-2</v>
      </c>
      <c r="AA89" s="263">
        <f>IF((AA73+AA74)=0,0,AA74/(AA73+AA74))</f>
        <v>2.8517907541367991E-2</v>
      </c>
    </row>
    <row r="91" spans="1:29" ht="15" customHeight="1" x14ac:dyDescent="0.15">
      <c r="A91" s="59" t="s">
        <v>897</v>
      </c>
      <c r="B91" s="114"/>
      <c r="C91" s="114"/>
      <c r="D91" s="114"/>
      <c r="E91" s="114"/>
      <c r="F91" s="114"/>
      <c r="G91" s="114"/>
      <c r="H91" s="114"/>
      <c r="I91" s="114"/>
      <c r="J91" s="114"/>
      <c r="K91" s="114"/>
      <c r="L91" s="114"/>
      <c r="M91" s="114"/>
      <c r="N91" s="114"/>
      <c r="O91" s="114"/>
      <c r="P91" s="114"/>
      <c r="Q91" s="114"/>
      <c r="R91" s="114"/>
      <c r="S91" s="114"/>
      <c r="T91" s="114"/>
      <c r="U91" s="114"/>
      <c r="V91" s="211"/>
      <c r="W91" s="114"/>
      <c r="X91" s="114"/>
      <c r="Y91" s="114"/>
      <c r="Z91" s="114"/>
      <c r="AA91" s="114"/>
      <c r="AB91" s="114"/>
      <c r="AC91" s="114"/>
    </row>
    <row r="92" spans="1:29" ht="15" customHeight="1" x14ac:dyDescent="0.15">
      <c r="A92" s="57" t="s">
        <v>898</v>
      </c>
      <c r="B92" s="245">
        <f>Raw_Data!B90</f>
        <v>-1011</v>
      </c>
      <c r="C92" s="245">
        <f>Raw_Data!C90</f>
        <v>-1154</v>
      </c>
      <c r="D92" s="245">
        <f>Raw_Data!D90</f>
        <v>-1252</v>
      </c>
      <c r="E92" s="245">
        <f>Raw_Data!E90</f>
        <v>-1321</v>
      </c>
      <c r="F92" s="245">
        <f>Raw_Data!F90</f>
        <v>-1474</v>
      </c>
      <c r="G92" s="245">
        <f>Raw_Data!G90</f>
        <v>-1624</v>
      </c>
      <c r="H92" s="245">
        <f>Raw_Data!H90</f>
        <v>-1655</v>
      </c>
      <c r="I92" s="245">
        <f>Raw_Data!I90</f>
        <v>-1633</v>
      </c>
      <c r="J92" s="245">
        <f>Raw_Data!J90</f>
        <v>-1928</v>
      </c>
      <c r="K92" s="245">
        <f>Raw_Data!K90</f>
        <v>-2027</v>
      </c>
      <c r="L92" s="77">
        <f>-Assumptions!M30</f>
        <v>-2100</v>
      </c>
      <c r="M92" s="77">
        <f>-Assumptions!N30</f>
        <v>-2160</v>
      </c>
      <c r="N92" s="77">
        <f>-Assumptions!O30</f>
        <v>-2220</v>
      </c>
      <c r="O92" s="77">
        <f>-Assumptions!P30</f>
        <v>-2280</v>
      </c>
      <c r="P92" s="77">
        <f>-Assumptions!Q30</f>
        <v>-2340</v>
      </c>
      <c r="Q92" s="77">
        <f>-Assumptions!R30</f>
        <v>-2400</v>
      </c>
      <c r="R92" s="77">
        <f>-Assumptions!S30</f>
        <v>-2460</v>
      </c>
      <c r="S92" s="77">
        <f>-Assumptions!T30</f>
        <v>-2520</v>
      </c>
      <c r="T92" s="77">
        <f>-Assumptions!U30</f>
        <v>-2580</v>
      </c>
      <c r="U92" s="77">
        <f>-Assumptions!V30</f>
        <v>-2640</v>
      </c>
      <c r="W92" s="77">
        <f>SUM(B92:E92)</f>
        <v>-4738</v>
      </c>
      <c r="X92" s="77">
        <f>SUM(F92:I92)</f>
        <v>-6386</v>
      </c>
      <c r="Y92" s="77">
        <f t="shared" ref="Y92:Y97" si="48">SUM(J92:M92)</f>
        <v>-8215</v>
      </c>
      <c r="Z92" s="77">
        <f t="shared" ref="Z92:Z97" si="49">SUM(N92:Q92)</f>
        <v>-9240</v>
      </c>
      <c r="AA92" s="77">
        <f t="shared" ref="AA92:AA97" si="50">SUM(R92:U92)</f>
        <v>-10200</v>
      </c>
      <c r="AB92" s="58" t="s">
        <v>899</v>
      </c>
    </row>
    <row r="93" spans="1:29" ht="15" customHeight="1" x14ac:dyDescent="0.15">
      <c r="A93" s="57" t="s">
        <v>900</v>
      </c>
      <c r="B93" s="245">
        <f>Raw_Data!B91</f>
        <v>-229</v>
      </c>
      <c r="C93" s="245">
        <f>Raw_Data!C91</f>
        <v>-280</v>
      </c>
      <c r="D93" s="245">
        <f>Raw_Data!D91</f>
        <v>-307</v>
      </c>
      <c r="E93" s="245">
        <f>Raw_Data!E91</f>
        <v>-355</v>
      </c>
      <c r="F93" s="245">
        <f>Raw_Data!F91</f>
        <v>-419</v>
      </c>
      <c r="G93" s="245">
        <f>Raw_Data!G91</f>
        <v>-440</v>
      </c>
      <c r="H93" s="245">
        <f>Raw_Data!H91</f>
        <v>-515</v>
      </c>
      <c r="I93" s="245">
        <f>Raw_Data!I91</f>
        <v>-622</v>
      </c>
      <c r="J93" s="245">
        <f>Raw_Data!J91</f>
        <v>-565</v>
      </c>
      <c r="K93" s="245">
        <f>Raw_Data!K91</f>
        <v>-612</v>
      </c>
      <c r="W93" s="77">
        <f>SUM(B93:E93)</f>
        <v>-1171</v>
      </c>
      <c r="X93" s="77">
        <f>SUM(F93:I93)</f>
        <v>-1996</v>
      </c>
      <c r="Y93" s="77">
        <f t="shared" si="48"/>
        <v>-1177</v>
      </c>
      <c r="Z93" s="77">
        <f t="shared" si="49"/>
        <v>0</v>
      </c>
      <c r="AA93" s="77">
        <f t="shared" si="50"/>
        <v>0</v>
      </c>
      <c r="AB93" s="58" t="s">
        <v>901</v>
      </c>
    </row>
    <row r="94" spans="1:29" ht="15" customHeight="1" x14ac:dyDescent="0.15">
      <c r="A94" s="57" t="s">
        <v>902</v>
      </c>
      <c r="B94" s="245">
        <f>Raw_Data!B92</f>
        <v>-140</v>
      </c>
      <c r="C94" s="245">
        <f>Raw_Data!C92</f>
        <v>-141</v>
      </c>
      <c r="D94" s="245">
        <f>Raw_Data!D92</f>
        <v>-155</v>
      </c>
      <c r="E94" s="245">
        <f>Raw_Data!E92</f>
        <v>-162</v>
      </c>
      <c r="F94" s="245">
        <f>Raw_Data!F92</f>
        <v>-163</v>
      </c>
      <c r="G94" s="245">
        <f>Raw_Data!G92</f>
        <v>-101</v>
      </c>
      <c r="H94" s="245">
        <f>Raw_Data!H92</f>
        <v>-87</v>
      </c>
      <c r="I94" s="245">
        <f>Raw_Data!I92</f>
        <v>-176</v>
      </c>
      <c r="J94" s="245">
        <f>Raw_Data!J92</f>
        <v>-247</v>
      </c>
      <c r="K94" s="245">
        <f>Raw_Data!K92</f>
        <v>-222</v>
      </c>
      <c r="W94" s="77">
        <f>SUM(B94:E94)</f>
        <v>-598</v>
      </c>
      <c r="X94" s="77">
        <f>SUM(F94:I94)</f>
        <v>-527</v>
      </c>
      <c r="Y94" s="77">
        <f t="shared" si="48"/>
        <v>-469</v>
      </c>
      <c r="Z94" s="77">
        <f t="shared" si="49"/>
        <v>0</v>
      </c>
      <c r="AA94" s="77">
        <f t="shared" si="50"/>
        <v>0</v>
      </c>
      <c r="AB94" s="58" t="s">
        <v>901</v>
      </c>
    </row>
    <row r="95" spans="1:29" ht="15" customHeight="1" x14ac:dyDescent="0.15">
      <c r="A95" s="57" t="s">
        <v>903</v>
      </c>
      <c r="B95" s="245">
        <f>Raw_Data!B93</f>
        <v>0</v>
      </c>
      <c r="C95" s="245">
        <f>Raw_Data!C93</f>
        <v>0</v>
      </c>
      <c r="D95" s="245">
        <f>Raw_Data!D93</f>
        <v>0</v>
      </c>
      <c r="E95" s="245">
        <f>Raw_Data!E93</f>
        <v>0</v>
      </c>
      <c r="F95" s="245">
        <f>Raw_Data!F93</f>
        <v>0</v>
      </c>
      <c r="G95" s="245">
        <f>Raw_Data!G93</f>
        <v>0</v>
      </c>
      <c r="H95" s="245">
        <f>Raw_Data!H93</f>
        <v>0</v>
      </c>
      <c r="I95" s="245">
        <f>Raw_Data!I93</f>
        <v>0</v>
      </c>
      <c r="J95" s="245">
        <f>Raw_Data!J93</f>
        <v>0</v>
      </c>
      <c r="K95" s="245">
        <f>Raw_Data!K93</f>
        <v>0</v>
      </c>
      <c r="W95" s="77">
        <f>SUM(B95:E95)</f>
        <v>0</v>
      </c>
      <c r="X95" s="77">
        <f>SUM(F95:I95)</f>
        <v>0</v>
      </c>
      <c r="Y95" s="77">
        <f t="shared" si="48"/>
        <v>0</v>
      </c>
      <c r="Z95" s="77">
        <f t="shared" si="49"/>
        <v>0</v>
      </c>
      <c r="AA95" s="77">
        <f t="shared" si="50"/>
        <v>0</v>
      </c>
      <c r="AB95" s="58" t="s">
        <v>904</v>
      </c>
    </row>
    <row r="96" spans="1:29" ht="15" customHeight="1" x14ac:dyDescent="0.15">
      <c r="A96" s="57" t="s">
        <v>905</v>
      </c>
      <c r="B96" s="245">
        <f>Raw_Data!B94</f>
        <v>1</v>
      </c>
      <c r="C96" s="245">
        <f>Raw_Data!C94</f>
        <v>0</v>
      </c>
      <c r="D96" s="245">
        <f>Raw_Data!D94</f>
        <v>0</v>
      </c>
      <c r="E96" s="245">
        <f>Raw_Data!E94</f>
        <v>0</v>
      </c>
      <c r="F96" s="245">
        <f>Raw_Data!F94</f>
        <v>0</v>
      </c>
      <c r="G96" s="245">
        <f>Raw_Data!G94</f>
        <v>0</v>
      </c>
      <c r="H96" s="245">
        <f>Raw_Data!H94</f>
        <v>0</v>
      </c>
      <c r="I96" s="245">
        <f>Raw_Data!I94</f>
        <v>0</v>
      </c>
      <c r="J96" s="245">
        <f>Raw_Data!J94</f>
        <v>0</v>
      </c>
      <c r="K96" s="245">
        <f>Raw_Data!K94</f>
        <v>0</v>
      </c>
      <c r="W96" s="77">
        <f>SUM(B96:E96)</f>
        <v>1</v>
      </c>
      <c r="X96" s="77">
        <f>SUM(F96:I96)</f>
        <v>0</v>
      </c>
      <c r="Y96" s="77">
        <f t="shared" si="48"/>
        <v>0</v>
      </c>
      <c r="Z96" s="77">
        <f t="shared" si="49"/>
        <v>0</v>
      </c>
      <c r="AA96" s="77">
        <f t="shared" si="50"/>
        <v>0</v>
      </c>
      <c r="AB96" s="58" t="s">
        <v>901</v>
      </c>
    </row>
    <row r="97" spans="1:29" ht="15" customHeight="1" x14ac:dyDescent="0.15">
      <c r="A97" s="256" t="s">
        <v>906</v>
      </c>
      <c r="B97" s="275"/>
      <c r="C97" s="275"/>
      <c r="D97" s="275"/>
      <c r="E97" s="275"/>
      <c r="F97" s="275"/>
      <c r="G97" s="275"/>
      <c r="H97" s="275"/>
      <c r="I97" s="275"/>
      <c r="J97" s="275"/>
      <c r="K97" s="275"/>
      <c r="L97" s="258">
        <f>-Assumptions!M31</f>
        <v>-850</v>
      </c>
      <c r="M97" s="258">
        <f>-Assumptions!N31</f>
        <v>-870</v>
      </c>
      <c r="N97" s="258">
        <f>-Assumptions!O31</f>
        <v>-900</v>
      </c>
      <c r="O97" s="258">
        <f>-Assumptions!P31</f>
        <v>-930</v>
      </c>
      <c r="P97" s="258">
        <f>-Assumptions!Q31</f>
        <v>-960</v>
      </c>
      <c r="Q97" s="258">
        <f>-Assumptions!R31</f>
        <v>-990</v>
      </c>
      <c r="R97" s="258">
        <f>-Assumptions!S31</f>
        <v>-1020</v>
      </c>
      <c r="S97" s="258">
        <f>-Assumptions!T31</f>
        <v>-1050</v>
      </c>
      <c r="T97" s="258">
        <f>-Assumptions!U31</f>
        <v>-1080</v>
      </c>
      <c r="U97" s="258">
        <f>-Assumptions!V31</f>
        <v>-1110</v>
      </c>
      <c r="W97" s="275"/>
      <c r="X97" s="275"/>
      <c r="Y97" s="258">
        <f t="shared" si="48"/>
        <v>-1720</v>
      </c>
      <c r="Z97" s="258">
        <f t="shared" si="49"/>
        <v>-3780</v>
      </c>
      <c r="AA97" s="258">
        <f t="shared" si="50"/>
        <v>-4260</v>
      </c>
      <c r="AB97" s="58" t="s">
        <v>907</v>
      </c>
    </row>
    <row r="98" spans="1:29" ht="15" customHeight="1" x14ac:dyDescent="0.15">
      <c r="A98" s="56" t="s">
        <v>908</v>
      </c>
      <c r="B98" s="260">
        <f t="shared" ref="B98:U98" si="51">SUM(B92:B97)</f>
        <v>-1379</v>
      </c>
      <c r="C98" s="260">
        <f t="shared" si="51"/>
        <v>-1575</v>
      </c>
      <c r="D98" s="260">
        <f t="shared" si="51"/>
        <v>-1714</v>
      </c>
      <c r="E98" s="260">
        <f t="shared" si="51"/>
        <v>-1838</v>
      </c>
      <c r="F98" s="260">
        <f t="shared" si="51"/>
        <v>-2056</v>
      </c>
      <c r="G98" s="260">
        <f t="shared" si="51"/>
        <v>-2165</v>
      </c>
      <c r="H98" s="260">
        <f t="shared" si="51"/>
        <v>-2257</v>
      </c>
      <c r="I98" s="260">
        <f t="shared" si="51"/>
        <v>-2431</v>
      </c>
      <c r="J98" s="260">
        <f t="shared" si="51"/>
        <v>-2740</v>
      </c>
      <c r="K98" s="260">
        <f t="shared" si="51"/>
        <v>-2861</v>
      </c>
      <c r="L98" s="260">
        <f t="shared" si="51"/>
        <v>-2950</v>
      </c>
      <c r="M98" s="260">
        <f t="shared" si="51"/>
        <v>-3030</v>
      </c>
      <c r="N98" s="260">
        <f t="shared" si="51"/>
        <v>-3120</v>
      </c>
      <c r="O98" s="260">
        <f t="shared" si="51"/>
        <v>-3210</v>
      </c>
      <c r="P98" s="260">
        <f t="shared" si="51"/>
        <v>-3300</v>
      </c>
      <c r="Q98" s="260">
        <f t="shared" si="51"/>
        <v>-3390</v>
      </c>
      <c r="R98" s="260">
        <f t="shared" si="51"/>
        <v>-3480</v>
      </c>
      <c r="S98" s="260">
        <f t="shared" si="51"/>
        <v>-3570</v>
      </c>
      <c r="T98" s="260">
        <f t="shared" si="51"/>
        <v>-3660</v>
      </c>
      <c r="U98" s="260">
        <f t="shared" si="51"/>
        <v>-3750</v>
      </c>
      <c r="V98" s="56"/>
      <c r="W98" s="260">
        <f>SUM(W92:W97)</f>
        <v>-6506</v>
      </c>
      <c r="X98" s="260">
        <f>SUM(X92:X97)</f>
        <v>-8909</v>
      </c>
      <c r="Y98" s="260">
        <f>SUM(Y92:Y97)</f>
        <v>-11581</v>
      </c>
      <c r="Z98" s="260">
        <f>SUM(Z92:Z97)</f>
        <v>-13020</v>
      </c>
      <c r="AA98" s="260">
        <f>SUM(AA92:AA97)</f>
        <v>-14460</v>
      </c>
      <c r="AB98" s="261" t="s">
        <v>909</v>
      </c>
      <c r="AC98" s="262"/>
    </row>
    <row r="100" spans="1:29" ht="15" customHeight="1" x14ac:dyDescent="0.15">
      <c r="A100" s="59" t="s">
        <v>910</v>
      </c>
      <c r="B100" s="114"/>
      <c r="C100" s="114"/>
      <c r="D100" s="114"/>
      <c r="E100" s="114"/>
      <c r="F100" s="114"/>
      <c r="G100" s="114"/>
      <c r="H100" s="114"/>
      <c r="I100" s="114"/>
      <c r="J100" s="114"/>
      <c r="K100" s="114"/>
      <c r="L100" s="114"/>
      <c r="M100" s="114"/>
      <c r="N100" s="114"/>
      <c r="O100" s="114"/>
      <c r="P100" s="114"/>
      <c r="Q100" s="114"/>
      <c r="R100" s="114"/>
      <c r="S100" s="114"/>
      <c r="T100" s="114"/>
      <c r="U100" s="114"/>
      <c r="V100" s="211"/>
      <c r="W100" s="114"/>
      <c r="X100" s="114"/>
      <c r="Y100" s="114"/>
      <c r="Z100" s="114"/>
      <c r="AA100" s="114"/>
      <c r="AB100" s="114"/>
      <c r="AC100" s="114"/>
    </row>
    <row r="101" spans="1:29" ht="15" customHeight="1" x14ac:dyDescent="0.15">
      <c r="A101" s="57" t="s">
        <v>911</v>
      </c>
      <c r="F101" s="245">
        <v>22260</v>
      </c>
      <c r="G101" s="245">
        <v>24168</v>
      </c>
      <c r="J101" s="245">
        <f>Raw_Data!J103</f>
        <v>43050</v>
      </c>
      <c r="K101" s="245">
        <f>Raw_Data!K103</f>
        <v>48710</v>
      </c>
      <c r="L101" s="77">
        <f>L8*Assumptions!M12</f>
        <v>55607.784450027997</v>
      </c>
      <c r="M101" s="77">
        <f>M8*Assumptions!N12</f>
        <v>60115.762040443202</v>
      </c>
      <c r="N101" s="77">
        <f>N8*Assumptions!O12</f>
        <v>71809.861121529582</v>
      </c>
      <c r="O101" s="77">
        <f>O8*Assumptions!P12</f>
        <v>81185.340921427385</v>
      </c>
      <c r="P101" s="77">
        <f>P8*Assumptions!Q12</f>
        <v>89034.380040541713</v>
      </c>
      <c r="Q101" s="77">
        <f>Q8*Assumptions!R12</f>
        <v>95293.106683316291</v>
      </c>
      <c r="R101" s="77">
        <f>R8*Assumptions!S12</f>
        <v>101834.10481412899</v>
      </c>
      <c r="S101" s="77">
        <f>S8*Assumptions!T12</f>
        <v>106371.14004643026</v>
      </c>
      <c r="T101" s="77">
        <f>T8*Assumptions!U12</f>
        <v>109796.6376554193</v>
      </c>
      <c r="U101" s="77">
        <f>U8*Assumptions!V12</f>
        <v>112277.10706681976</v>
      </c>
      <c r="Y101" s="77">
        <f>SUM(J101:M101)</f>
        <v>207483.5464904712</v>
      </c>
      <c r="Z101" s="77">
        <f>SUM(N101:Q101)</f>
        <v>337322.68876681494</v>
      </c>
      <c r="AA101" s="77">
        <f>SUM(R101:U101)</f>
        <v>430278.98958279833</v>
      </c>
      <c r="AB101" s="58" t="s">
        <v>912</v>
      </c>
    </row>
    <row r="102" spans="1:29" ht="15" customHeight="1" x14ac:dyDescent="0.15">
      <c r="A102" s="57" t="s">
        <v>913</v>
      </c>
      <c r="F102" s="245">
        <v>16852</v>
      </c>
      <c r="G102" s="245">
        <v>16928</v>
      </c>
      <c r="J102" s="245">
        <f>Raw_Data!J104</f>
        <v>32196</v>
      </c>
      <c r="K102" s="245">
        <f>Raw_Data!K104</f>
        <v>40313</v>
      </c>
      <c r="L102" s="77">
        <f t="shared" ref="L102:U102" si="52">L8-L101</f>
        <v>46424.847568371995</v>
      </c>
      <c r="M102" s="77">
        <f t="shared" si="52"/>
        <v>51209.723219636791</v>
      </c>
      <c r="N102" s="77">
        <f t="shared" si="52"/>
        <v>63680.442881356415</v>
      </c>
      <c r="O102" s="77">
        <f t="shared" si="52"/>
        <v>74940.314696702204</v>
      </c>
      <c r="P102" s="77">
        <f t="shared" si="52"/>
        <v>85542.835725226338</v>
      </c>
      <c r="Q102" s="77">
        <f t="shared" si="52"/>
        <v>95293.106683316291</v>
      </c>
      <c r="R102" s="77">
        <f t="shared" si="52"/>
        <v>103891.35945683868</v>
      </c>
      <c r="S102" s="77">
        <f t="shared" si="52"/>
        <v>110712.81923199884</v>
      </c>
      <c r="T102" s="77">
        <f t="shared" si="52"/>
        <v>116588.18225266173</v>
      </c>
      <c r="U102" s="77">
        <f t="shared" si="52"/>
        <v>121633.53265572141</v>
      </c>
      <c r="Y102" s="77">
        <f>SUM(J102:M102)</f>
        <v>170143.5707880088</v>
      </c>
      <c r="Z102" s="77">
        <f>SUM(N102:Q102)</f>
        <v>319456.69998660125</v>
      </c>
      <c r="AA102" s="77">
        <f>SUM(R102:U102)</f>
        <v>452825.89359722065</v>
      </c>
      <c r="AB102" s="58" t="s">
        <v>914</v>
      </c>
    </row>
    <row r="103" spans="1:29" ht="15" customHeight="1" x14ac:dyDescent="0.15">
      <c r="A103" s="57" t="s">
        <v>915</v>
      </c>
      <c r="J103" s="77">
        <f t="shared" ref="J103:U103" si="53">J101+J102-J8</f>
        <v>0</v>
      </c>
      <c r="K103" s="77">
        <f t="shared" si="53"/>
        <v>0</v>
      </c>
      <c r="L103" s="77">
        <f t="shared" si="53"/>
        <v>0</v>
      </c>
      <c r="M103" s="77">
        <f t="shared" si="53"/>
        <v>0</v>
      </c>
      <c r="N103" s="77">
        <f t="shared" si="53"/>
        <v>0</v>
      </c>
      <c r="O103" s="77">
        <f t="shared" si="53"/>
        <v>0</v>
      </c>
      <c r="P103" s="77">
        <f t="shared" si="53"/>
        <v>0</v>
      </c>
      <c r="Q103" s="77">
        <f t="shared" si="53"/>
        <v>0</v>
      </c>
      <c r="R103" s="77">
        <f t="shared" si="53"/>
        <v>0</v>
      </c>
      <c r="S103" s="77">
        <f t="shared" si="53"/>
        <v>0</v>
      </c>
      <c r="T103" s="77">
        <f t="shared" si="53"/>
        <v>0</v>
      </c>
      <c r="U103" s="77">
        <f t="shared" si="53"/>
        <v>0</v>
      </c>
      <c r="Y103" s="77">
        <f>Y101+Y102-Y8</f>
        <v>0</v>
      </c>
      <c r="Z103" s="77">
        <f>Z101+Z102-Z8</f>
        <v>0</v>
      </c>
      <c r="AA103" s="77">
        <f>AA101+AA102-AA8</f>
        <v>0</v>
      </c>
      <c r="AB103" s="58" t="s">
        <v>916</v>
      </c>
    </row>
    <row r="104" spans="1:29" ht="15" customHeight="1" x14ac:dyDescent="0.15">
      <c r="A104" s="57"/>
      <c r="J104" s="77"/>
      <c r="K104" s="77"/>
      <c r="L104" s="77"/>
      <c r="M104" s="77"/>
      <c r="N104" s="77"/>
      <c r="O104" s="77"/>
      <c r="P104" s="77"/>
      <c r="Q104" s="77"/>
      <c r="R104" s="77"/>
      <c r="S104" s="77"/>
      <c r="T104" s="77"/>
      <c r="U104" s="77"/>
      <c r="Y104" s="77"/>
      <c r="Z104" s="77"/>
      <c r="AA104" s="77"/>
      <c r="AB104" s="58"/>
    </row>
    <row r="105" spans="1:29" s="82" customFormat="1" ht="13.5" customHeight="1" x14ac:dyDescent="0.15">
      <c r="A105" s="80" t="s">
        <v>917</v>
      </c>
      <c r="H105" s="263"/>
      <c r="I105" s="263"/>
      <c r="J105" s="263"/>
      <c r="K105" s="263"/>
      <c r="L105" s="263"/>
      <c r="M105" s="263"/>
      <c r="N105" s="263">
        <f t="shared" ref="N105:U106" si="54">IF(J101=0,0,(N101-J101)/J101)</f>
        <v>0.66805716890893341</v>
      </c>
      <c r="O105" s="263">
        <f t="shared" si="54"/>
        <v>0.66670788177843121</v>
      </c>
      <c r="P105" s="263">
        <f t="shared" si="54"/>
        <v>0.60111360164964978</v>
      </c>
      <c r="Q105" s="263">
        <f t="shared" si="54"/>
        <v>0.58516008861714741</v>
      </c>
      <c r="R105" s="263">
        <f t="shared" si="54"/>
        <v>0.41810753040988308</v>
      </c>
      <c r="S105" s="263">
        <f t="shared" si="54"/>
        <v>0.31022594521562868</v>
      </c>
      <c r="T105" s="263">
        <f t="shared" si="54"/>
        <v>0.23319371242236439</v>
      </c>
      <c r="U105" s="263">
        <f t="shared" si="54"/>
        <v>0.17822905532868932</v>
      </c>
      <c r="Y105" s="263"/>
      <c r="Z105" s="263">
        <f>IF(Y101=0,0,(Z101-Y101)/Y101)</f>
        <v>0.62578042679787471</v>
      </c>
      <c r="AA105" s="263">
        <f>IF(Z101=0,0,(AA101-Z101)/Z101)</f>
        <v>0.27557085221813343</v>
      </c>
    </row>
    <row r="106" spans="1:29" s="82" customFormat="1" ht="13.5" customHeight="1" x14ac:dyDescent="0.15">
      <c r="A106" s="80" t="s">
        <v>918</v>
      </c>
      <c r="H106" s="263"/>
      <c r="I106" s="263"/>
      <c r="J106" s="263"/>
      <c r="K106" s="263"/>
      <c r="L106" s="263"/>
      <c r="M106" s="263"/>
      <c r="N106" s="263">
        <f t="shared" si="54"/>
        <v>0.97789920739708092</v>
      </c>
      <c r="O106" s="263">
        <f t="shared" si="54"/>
        <v>0.85896149372912467</v>
      </c>
      <c r="P106" s="263">
        <f t="shared" si="54"/>
        <v>0.84260886585020001</v>
      </c>
      <c r="Q106" s="263">
        <f t="shared" si="54"/>
        <v>0.8608401040288256</v>
      </c>
      <c r="R106" s="263">
        <f t="shared" si="54"/>
        <v>0.6314484440756728</v>
      </c>
      <c r="S106" s="263">
        <f t="shared" si="54"/>
        <v>0.47734660149313241</v>
      </c>
      <c r="T106" s="263">
        <f t="shared" si="54"/>
        <v>0.36292164345774908</v>
      </c>
      <c r="U106" s="263">
        <f t="shared" si="54"/>
        <v>0.27641480993941347</v>
      </c>
      <c r="Y106" s="263"/>
      <c r="Z106" s="263">
        <f>IF(Y102=0,0,(Z102-Y102)/Y102)</f>
        <v>0.87757138578353844</v>
      </c>
      <c r="AA106" s="263">
        <f>IF(Z102=0,0,(AA102-Z102)/Z102)</f>
        <v>0.41748754562422141</v>
      </c>
    </row>
    <row r="107" spans="1:29" ht="15" customHeight="1" x14ac:dyDescent="0.15">
      <c r="A107" s="57"/>
      <c r="J107" s="77"/>
      <c r="K107" s="77"/>
      <c r="L107" s="77"/>
      <c r="M107" s="77"/>
      <c r="N107" s="77"/>
      <c r="O107" s="77"/>
      <c r="P107" s="77"/>
      <c r="Q107" s="77"/>
      <c r="R107" s="77"/>
      <c r="S107" s="77"/>
      <c r="T107" s="77"/>
      <c r="U107" s="77"/>
      <c r="Y107" s="77"/>
      <c r="Z107" s="77"/>
      <c r="AA107" s="77"/>
      <c r="AB107" s="58"/>
    </row>
    <row r="108" spans="1:29" s="82" customFormat="1" ht="13.5" customHeight="1" x14ac:dyDescent="0.15">
      <c r="A108" s="80" t="s">
        <v>919</v>
      </c>
      <c r="H108" s="263"/>
      <c r="I108" s="263"/>
      <c r="J108" s="263"/>
      <c r="K108" s="263"/>
      <c r="L108" s="263">
        <f t="shared" ref="L108:U108" si="55">L101/L8</f>
        <v>0.54500000000000004</v>
      </c>
      <c r="M108" s="263">
        <f t="shared" si="55"/>
        <v>0.54</v>
      </c>
      <c r="N108" s="263">
        <f t="shared" si="55"/>
        <v>0.53</v>
      </c>
      <c r="O108" s="263">
        <f t="shared" si="55"/>
        <v>0.52</v>
      </c>
      <c r="P108" s="263">
        <f t="shared" si="55"/>
        <v>0.51</v>
      </c>
      <c r="Q108" s="263">
        <f t="shared" si="55"/>
        <v>0.5</v>
      </c>
      <c r="R108" s="263">
        <f t="shared" si="55"/>
        <v>0.495</v>
      </c>
      <c r="S108" s="263">
        <f t="shared" si="55"/>
        <v>0.49</v>
      </c>
      <c r="T108" s="263">
        <f t="shared" si="55"/>
        <v>0.48499999999999999</v>
      </c>
      <c r="U108" s="263">
        <f t="shared" si="55"/>
        <v>0.48</v>
      </c>
      <c r="Y108" s="263">
        <f>Y101/Y8</f>
        <v>0.54944027321391509</v>
      </c>
      <c r="Z108" s="263">
        <f>Z101/Z8</f>
        <v>0.51360120999999992</v>
      </c>
      <c r="AA108" s="263">
        <f>AA101/AA8</f>
        <v>0.48723430000000001</v>
      </c>
    </row>
    <row r="109" spans="1:29" s="82" customFormat="1" ht="13.5" customHeight="1" x14ac:dyDescent="0.15">
      <c r="A109" s="80" t="s">
        <v>920</v>
      </c>
      <c r="H109" s="263"/>
      <c r="I109" s="263"/>
      <c r="J109" s="263"/>
      <c r="K109" s="263"/>
      <c r="L109" s="263">
        <f t="shared" ref="L109:U109" si="56">L102/L8</f>
        <v>0.45500000000000002</v>
      </c>
      <c r="M109" s="263">
        <f t="shared" si="56"/>
        <v>0.45999999999999996</v>
      </c>
      <c r="N109" s="263">
        <f t="shared" si="56"/>
        <v>0.47</v>
      </c>
      <c r="O109" s="263">
        <f t="shared" si="56"/>
        <v>0.48</v>
      </c>
      <c r="P109" s="263">
        <f t="shared" si="56"/>
        <v>0.48999999999999994</v>
      </c>
      <c r="Q109" s="263">
        <f t="shared" si="56"/>
        <v>0.5</v>
      </c>
      <c r="R109" s="263">
        <f t="shared" si="56"/>
        <v>0.505</v>
      </c>
      <c r="S109" s="263">
        <f t="shared" si="56"/>
        <v>0.51</v>
      </c>
      <c r="T109" s="263">
        <f t="shared" si="56"/>
        <v>0.51500000000000001</v>
      </c>
      <c r="U109" s="263">
        <f t="shared" si="56"/>
        <v>0.52</v>
      </c>
      <c r="Y109" s="263">
        <f>Y102/Y8</f>
        <v>0.45055972678608497</v>
      </c>
      <c r="Z109" s="263">
        <f>Z102/Z8</f>
        <v>0.48639878999999997</v>
      </c>
      <c r="AA109" s="263">
        <f>AA102/AA8</f>
        <v>0.51276569999999999</v>
      </c>
    </row>
    <row r="111" spans="1:29" ht="15" customHeight="1" x14ac:dyDescent="0.15">
      <c r="A111" s="59" t="s">
        <v>921</v>
      </c>
      <c r="B111" s="114"/>
      <c r="C111" s="114"/>
      <c r="D111" s="114"/>
      <c r="E111" s="114"/>
      <c r="F111" s="114"/>
      <c r="G111" s="114"/>
      <c r="H111" s="114"/>
      <c r="I111" s="114"/>
      <c r="J111" s="114"/>
      <c r="K111" s="114"/>
      <c r="L111" s="114"/>
      <c r="M111" s="114"/>
      <c r="N111" s="114"/>
      <c r="O111" s="114"/>
      <c r="P111" s="114"/>
      <c r="Q111" s="114"/>
      <c r="R111" s="114"/>
      <c r="S111" s="114"/>
      <c r="T111" s="114"/>
      <c r="U111" s="114"/>
      <c r="V111" s="211"/>
      <c r="W111" s="114"/>
      <c r="X111" s="114"/>
      <c r="Y111" s="114"/>
      <c r="Z111" s="114"/>
      <c r="AA111" s="114"/>
      <c r="AB111" s="114"/>
      <c r="AC111" s="114"/>
    </row>
    <row r="112" spans="1:29" ht="15" customHeight="1" x14ac:dyDescent="0.15">
      <c r="A112" s="58" t="s">
        <v>922</v>
      </c>
      <c r="H112" s="281">
        <f t="shared" ref="H112:U112" si="57">IF(H8=0,0,H44/H8)</f>
        <v>0.84014448891926197</v>
      </c>
      <c r="I112" s="281">
        <f t="shared" si="57"/>
        <v>0.82379561575247939</v>
      </c>
      <c r="J112" s="281">
        <f t="shared" si="57"/>
        <v>0.80331180394971158</v>
      </c>
      <c r="K112" s="281">
        <f t="shared" si="57"/>
        <v>0.80382597755636187</v>
      </c>
      <c r="L112" s="281">
        <f t="shared" si="57"/>
        <v>0.80645161290322587</v>
      </c>
      <c r="M112" s="281">
        <f t="shared" si="57"/>
        <v>0.80971659919028349</v>
      </c>
      <c r="N112" s="281">
        <f t="shared" si="57"/>
        <v>0.79681274900398413</v>
      </c>
      <c r="O112" s="281">
        <f t="shared" si="57"/>
        <v>0.79681274900398424</v>
      </c>
      <c r="P112" s="281">
        <f t="shared" si="57"/>
        <v>0.79681274900398413</v>
      </c>
      <c r="Q112" s="281">
        <f t="shared" si="57"/>
        <v>0.79681274900398424</v>
      </c>
      <c r="R112" s="281">
        <f t="shared" si="57"/>
        <v>0.78740157480314965</v>
      </c>
      <c r="S112" s="281">
        <f t="shared" si="57"/>
        <v>0.78740157480314965</v>
      </c>
      <c r="T112" s="281">
        <f t="shared" si="57"/>
        <v>0.78740157480314954</v>
      </c>
      <c r="U112" s="281">
        <f t="shared" si="57"/>
        <v>0.78740157480314965</v>
      </c>
      <c r="Y112" s="281">
        <f>IF(Y8=0,0,Y44/Y8)</f>
        <v>0.80616952559447141</v>
      </c>
      <c r="Z112" s="281">
        <f>IF(Z8=0,0,Z44/Z8)</f>
        <v>0.79681274900398413</v>
      </c>
      <c r="AA112" s="281">
        <f>IF(AA8=0,0,AA44/AA8)</f>
        <v>0.78740157480314965</v>
      </c>
      <c r="AB112" s="58" t="s">
        <v>923</v>
      </c>
    </row>
  </sheetData>
  <phoneticPr fontId="61" type="noConversion"/>
  <pageMargins left="0.75" right="0.75" top="1" bottom="1" header="0.511811023622047" footer="0.511811023622047"/>
  <pageSetup paperSize="9"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76"/>
  <sheetViews>
    <sheetView showGridLines="0" zoomScale="125" zoomScaleNormal="125" workbookViewId="0">
      <pane xSplit="1" ySplit="6" topLeftCell="B7" activePane="bottomRight" state="frozen"/>
      <selection pane="topRight" activeCell="B1" sqref="B1"/>
      <selection pane="bottomLeft" activeCell="A7" sqref="A7"/>
      <selection pane="bottomRight" activeCell="D85" sqref="D85"/>
    </sheetView>
  </sheetViews>
  <sheetFormatPr baseColWidth="10" defaultColWidth="9.5" defaultRowHeight="14" x14ac:dyDescent="0.15"/>
  <cols>
    <col min="1" max="1" width="50" customWidth="1"/>
    <col min="2" max="21" width="14.1640625" customWidth="1"/>
    <col min="22" max="22" width="2.1640625" customWidth="1"/>
    <col min="23" max="27" width="14.1640625" customWidth="1"/>
    <col min="28" max="29" width="56.6640625" customWidth="1"/>
  </cols>
  <sheetData>
    <row r="1" spans="1:29" ht="21.75" customHeight="1" x14ac:dyDescent="0.2">
      <c r="A1" s="68" t="s">
        <v>924</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ht="15" customHeight="1" x14ac:dyDescent="0.15">
      <c r="A2" s="56" t="s">
        <v>646</v>
      </c>
    </row>
    <row r="3" spans="1:29" ht="15" customHeight="1" x14ac:dyDescent="0.15">
      <c r="A3" s="57" t="s">
        <v>647</v>
      </c>
    </row>
    <row r="4" spans="1:29" ht="15" customHeight="1" x14ac:dyDescent="0.15">
      <c r="A4" s="73" t="s">
        <v>215</v>
      </c>
      <c r="B4" s="98" t="s">
        <v>648</v>
      </c>
      <c r="C4" s="98" t="s">
        <v>649</v>
      </c>
      <c r="D4" s="98" t="s">
        <v>650</v>
      </c>
      <c r="E4" s="98" t="s">
        <v>651</v>
      </c>
      <c r="F4" s="98" t="s">
        <v>652</v>
      </c>
      <c r="G4" s="98" t="s">
        <v>653</v>
      </c>
      <c r="H4" s="98" t="s">
        <v>654</v>
      </c>
      <c r="I4" s="98" t="s">
        <v>655</v>
      </c>
      <c r="J4" s="98" t="s">
        <v>656</v>
      </c>
      <c r="K4" s="98" t="s">
        <v>657</v>
      </c>
      <c r="L4" s="98" t="s">
        <v>658</v>
      </c>
      <c r="M4" s="98" t="s">
        <v>659</v>
      </c>
      <c r="N4" s="98" t="s">
        <v>660</v>
      </c>
      <c r="O4" s="98" t="s">
        <v>661</v>
      </c>
      <c r="P4" s="98" t="s">
        <v>662</v>
      </c>
      <c r="Q4" s="98" t="s">
        <v>663</v>
      </c>
      <c r="R4" s="98" t="s">
        <v>664</v>
      </c>
      <c r="S4" s="98" t="s">
        <v>665</v>
      </c>
      <c r="T4" s="98" t="s">
        <v>666</v>
      </c>
      <c r="U4" s="98" t="s">
        <v>667</v>
      </c>
      <c r="V4" s="211"/>
      <c r="W4" s="98" t="s">
        <v>651</v>
      </c>
      <c r="X4" s="98" t="s">
        <v>655</v>
      </c>
      <c r="Y4" s="98" t="s">
        <v>659</v>
      </c>
      <c r="Z4" s="98" t="s">
        <v>663</v>
      </c>
      <c r="AA4" s="98" t="s">
        <v>667</v>
      </c>
      <c r="AB4" s="69"/>
      <c r="AC4" s="69"/>
    </row>
    <row r="5" spans="1:29" ht="15" customHeight="1" x14ac:dyDescent="0.15">
      <c r="A5" s="73" t="s">
        <v>668</v>
      </c>
      <c r="B5" s="74" t="s">
        <v>669</v>
      </c>
      <c r="C5" s="74" t="s">
        <v>670</v>
      </c>
      <c r="D5" s="74" t="s">
        <v>671</v>
      </c>
      <c r="E5" s="74" t="s">
        <v>672</v>
      </c>
      <c r="F5" s="74" t="s">
        <v>673</v>
      </c>
      <c r="G5" s="74" t="s">
        <v>674</v>
      </c>
      <c r="H5" s="74" t="s">
        <v>675</v>
      </c>
      <c r="I5" s="74" t="s">
        <v>676</v>
      </c>
      <c r="J5" s="74" t="s">
        <v>677</v>
      </c>
      <c r="K5" s="74" t="s">
        <v>678</v>
      </c>
      <c r="L5" s="74" t="s">
        <v>547</v>
      </c>
      <c r="M5" s="74" t="s">
        <v>548</v>
      </c>
      <c r="N5" s="74" t="s">
        <v>679</v>
      </c>
      <c r="O5" s="74" t="s">
        <v>680</v>
      </c>
      <c r="P5" s="74" t="s">
        <v>681</v>
      </c>
      <c r="Q5" s="74" t="s">
        <v>682</v>
      </c>
      <c r="R5" s="74" t="s">
        <v>683</v>
      </c>
      <c r="S5" s="74" t="s">
        <v>684</v>
      </c>
      <c r="T5" s="74" t="s">
        <v>685</v>
      </c>
      <c r="U5" s="74" t="s">
        <v>686</v>
      </c>
      <c r="V5" s="231"/>
      <c r="W5" s="74" t="s">
        <v>687</v>
      </c>
      <c r="X5" s="74" t="s">
        <v>549</v>
      </c>
      <c r="Y5" s="74" t="s">
        <v>236</v>
      </c>
      <c r="Z5" s="74" t="s">
        <v>237</v>
      </c>
      <c r="AA5" s="74" t="s">
        <v>238</v>
      </c>
      <c r="AB5" s="73"/>
      <c r="AC5" s="73"/>
    </row>
    <row r="6" spans="1:29" ht="15" customHeight="1" x14ac:dyDescent="0.15">
      <c r="A6" s="56" t="s">
        <v>358</v>
      </c>
      <c r="B6" s="232" t="s">
        <v>359</v>
      </c>
      <c r="C6" s="232" t="s">
        <v>359</v>
      </c>
      <c r="D6" s="232" t="s">
        <v>359</v>
      </c>
      <c r="E6" s="232" t="s">
        <v>359</v>
      </c>
      <c r="F6" s="232" t="s">
        <v>359</v>
      </c>
      <c r="G6" s="232" t="s">
        <v>359</v>
      </c>
      <c r="H6" s="232" t="s">
        <v>359</v>
      </c>
      <c r="I6" s="232" t="s">
        <v>359</v>
      </c>
      <c r="J6" s="232" t="s">
        <v>359</v>
      </c>
      <c r="K6" s="232" t="s">
        <v>359</v>
      </c>
      <c r="L6" s="232" t="s">
        <v>551</v>
      </c>
      <c r="M6" s="232" t="s">
        <v>551</v>
      </c>
      <c r="N6" s="232" t="s">
        <v>551</v>
      </c>
      <c r="O6" s="232" t="s">
        <v>551</v>
      </c>
      <c r="P6" s="232" t="s">
        <v>551</v>
      </c>
      <c r="Q6" s="232" t="s">
        <v>551</v>
      </c>
      <c r="R6" s="232" t="s">
        <v>551</v>
      </c>
      <c r="S6" s="232" t="s">
        <v>551</v>
      </c>
      <c r="T6" s="232" t="s">
        <v>551</v>
      </c>
      <c r="U6" s="232" t="s">
        <v>551</v>
      </c>
      <c r="V6" s="211"/>
      <c r="W6" s="232" t="s">
        <v>359</v>
      </c>
      <c r="X6" s="232" t="s">
        <v>359</v>
      </c>
      <c r="Y6" s="232" t="s">
        <v>551</v>
      </c>
      <c r="Z6" s="232" t="s">
        <v>551</v>
      </c>
      <c r="AA6" s="232" t="s">
        <v>551</v>
      </c>
    </row>
    <row r="7" spans="1:29" ht="15" customHeight="1" x14ac:dyDescent="0.15">
      <c r="A7" s="57" t="s">
        <v>135</v>
      </c>
      <c r="B7" s="245">
        <f>Raw_Data!B8</f>
        <v>26044</v>
      </c>
      <c r="C7" s="245">
        <f>Raw_Data!C8</f>
        <v>30040</v>
      </c>
      <c r="D7" s="245">
        <f>Raw_Data!D8</f>
        <v>35082</v>
      </c>
      <c r="E7" s="245">
        <f>Raw_Data!E8</f>
        <v>39331</v>
      </c>
      <c r="F7" s="245">
        <f>Raw_Data!F8</f>
        <v>44062</v>
      </c>
      <c r="G7" s="245">
        <f>Raw_Data!G8</f>
        <v>46743</v>
      </c>
      <c r="H7" s="245">
        <f>Raw_Data!H8</f>
        <v>57006</v>
      </c>
      <c r="I7" s="245">
        <f>Raw_Data!I8</f>
        <v>68127</v>
      </c>
      <c r="J7" s="245">
        <f>Raw_Data!J8</f>
        <v>81615</v>
      </c>
      <c r="K7" s="245">
        <f>Raw_Data!K8</f>
        <v>96221</v>
      </c>
      <c r="L7" s="77">
        <f>Segment!L10</f>
        <v>109630.42401839999</v>
      </c>
      <c r="M7" s="77">
        <f>Segment!M10</f>
        <v>119225.35226007999</v>
      </c>
      <c r="N7" s="77">
        <f>Segment!N10</f>
        <v>143687.20700288599</v>
      </c>
      <c r="O7" s="77">
        <f>Segment!O10</f>
        <v>164626.49361812958</v>
      </c>
      <c r="P7" s="77">
        <f>Segment!P10</f>
        <v>183375.45890176806</v>
      </c>
      <c r="Q7" s="77">
        <f>Segment!Q10</f>
        <v>199686.86015063259</v>
      </c>
      <c r="R7" s="77">
        <f>Segment!R10</f>
        <v>215119.11510896767</v>
      </c>
      <c r="S7" s="77">
        <f>Segment!S10</f>
        <v>226783.41543642909</v>
      </c>
      <c r="T7" s="77">
        <f>Segment!T10</f>
        <v>236379.62411057702</v>
      </c>
      <c r="U7" s="77">
        <f>Segment!U10</f>
        <v>244212.57188202918</v>
      </c>
      <c r="W7" s="77">
        <f>SUM(B7:E7)</f>
        <v>130497</v>
      </c>
      <c r="X7" s="77">
        <f>SUM(F7:I7)</f>
        <v>215938</v>
      </c>
      <c r="Y7" s="77">
        <f>SUM(J7:M7)</f>
        <v>406691.77627848001</v>
      </c>
      <c r="Z7" s="77">
        <f>SUM(N7:Q7)</f>
        <v>691376.01967341616</v>
      </c>
      <c r="AA7" s="77">
        <f>SUM(R7:U7)</f>
        <v>922494.72653800296</v>
      </c>
      <c r="AB7" s="58" t="s">
        <v>925</v>
      </c>
    </row>
    <row r="8" spans="1:29" ht="15" customHeight="1" x14ac:dyDescent="0.15">
      <c r="A8" s="256" t="s">
        <v>926</v>
      </c>
      <c r="B8" s="257">
        <f>-Raw_Data!B9</f>
        <v>-5638</v>
      </c>
      <c r="C8" s="257">
        <f>-Raw_Data!C9</f>
        <v>-7466</v>
      </c>
      <c r="D8" s="257">
        <f>-Raw_Data!D9</f>
        <v>-8926</v>
      </c>
      <c r="E8" s="257">
        <f>-Raw_Data!E9</f>
        <v>-10608</v>
      </c>
      <c r="F8" s="257">
        <f>-Raw_Data!F9</f>
        <v>-17394</v>
      </c>
      <c r="G8" s="257">
        <f>-Raw_Data!G9</f>
        <v>-12890</v>
      </c>
      <c r="H8" s="257">
        <f>-Raw_Data!H9</f>
        <v>-15157</v>
      </c>
      <c r="I8" s="257">
        <f>-Raw_Data!I9</f>
        <v>-17034</v>
      </c>
      <c r="J8" s="257">
        <f>-Raw_Data!J9</f>
        <v>-20458</v>
      </c>
      <c r="K8" s="257">
        <f>-Raw_Data!K9</f>
        <v>-24079</v>
      </c>
      <c r="L8" s="258">
        <f>-L7*(1-Assumptions!M34)</f>
        <v>-28503.910244783998</v>
      </c>
      <c r="M8" s="258">
        <f>-M7*(1-Assumptions!N34)</f>
        <v>-33979.225394122805</v>
      </c>
      <c r="N8" s="258">
        <f>-N7*(1-Assumptions!O34)</f>
        <v>-40232.417960808081</v>
      </c>
      <c r="O8" s="258">
        <f>-O7*(1-Assumptions!P34)</f>
        <v>-45436.912238603771</v>
      </c>
      <c r="P8" s="258">
        <f>-P7*(1-Assumptions!Q34)</f>
        <v>-50061.500280182685</v>
      </c>
      <c r="Q8" s="258">
        <f>-Q7*(1-Assumptions!R34)</f>
        <v>-54115.139100821434</v>
      </c>
      <c r="R8" s="258">
        <f>-R7*(1-Assumptions!S34)</f>
        <v>-58297.280194530242</v>
      </c>
      <c r="S8" s="258">
        <f>-S7*(1-Assumptions!T34)</f>
        <v>-61458.305583272289</v>
      </c>
      <c r="T8" s="258">
        <f>-T7*(1-Assumptions!U34)</f>
        <v>-64058.878133966376</v>
      </c>
      <c r="U8" s="258">
        <f>-U7*(1-Assumptions!V34)</f>
        <v>-66181.606980029916</v>
      </c>
      <c r="W8" s="258">
        <f>SUM(B8:E8)</f>
        <v>-32638</v>
      </c>
      <c r="X8" s="258">
        <f>SUM(F8:I8)</f>
        <v>-62475</v>
      </c>
      <c r="Y8" s="258">
        <f>SUM(J8:M8)</f>
        <v>-107020.1356389068</v>
      </c>
      <c r="Z8" s="258">
        <f>SUM(N8:Q8)</f>
        <v>-189845.96958041596</v>
      </c>
      <c r="AA8" s="258">
        <f>SUM(R8:U8)</f>
        <v>-249996.07089179882</v>
      </c>
      <c r="AB8" s="58" t="s">
        <v>927</v>
      </c>
    </row>
    <row r="9" spans="1:29" ht="15" customHeight="1" x14ac:dyDescent="0.15">
      <c r="A9" s="56" t="s">
        <v>136</v>
      </c>
      <c r="B9" s="260">
        <f t="shared" ref="B9:U9" si="0">B7+B8</f>
        <v>20406</v>
      </c>
      <c r="C9" s="260">
        <f t="shared" si="0"/>
        <v>22574</v>
      </c>
      <c r="D9" s="260">
        <f t="shared" si="0"/>
        <v>26156</v>
      </c>
      <c r="E9" s="260">
        <f t="shared" si="0"/>
        <v>28723</v>
      </c>
      <c r="F9" s="260">
        <f t="shared" si="0"/>
        <v>26668</v>
      </c>
      <c r="G9" s="260">
        <f t="shared" si="0"/>
        <v>33853</v>
      </c>
      <c r="H9" s="260">
        <f t="shared" si="0"/>
        <v>41849</v>
      </c>
      <c r="I9" s="260">
        <f t="shared" si="0"/>
        <v>51093</v>
      </c>
      <c r="J9" s="260">
        <f t="shared" si="0"/>
        <v>61157</v>
      </c>
      <c r="K9" s="260">
        <f t="shared" si="0"/>
        <v>72142</v>
      </c>
      <c r="L9" s="260">
        <f t="shared" si="0"/>
        <v>81126.513773615996</v>
      </c>
      <c r="M9" s="260">
        <f t="shared" si="0"/>
        <v>85246.126865957194</v>
      </c>
      <c r="N9" s="260">
        <f t="shared" si="0"/>
        <v>103454.7890420779</v>
      </c>
      <c r="O9" s="260">
        <f t="shared" si="0"/>
        <v>119189.5813795258</v>
      </c>
      <c r="P9" s="260">
        <f t="shared" si="0"/>
        <v>133313.95862158536</v>
      </c>
      <c r="Q9" s="260">
        <f t="shared" si="0"/>
        <v>145571.72104981117</v>
      </c>
      <c r="R9" s="260">
        <f t="shared" si="0"/>
        <v>156821.83491443744</v>
      </c>
      <c r="S9" s="260">
        <f t="shared" si="0"/>
        <v>165325.10985315678</v>
      </c>
      <c r="T9" s="260">
        <f t="shared" si="0"/>
        <v>172320.74597661063</v>
      </c>
      <c r="U9" s="260">
        <f t="shared" si="0"/>
        <v>178030.96490199928</v>
      </c>
      <c r="V9" s="56"/>
      <c r="W9" s="260">
        <f>W7+W8</f>
        <v>97859</v>
      </c>
      <c r="X9" s="260">
        <f>X7+X8</f>
        <v>153463</v>
      </c>
      <c r="Y9" s="260">
        <f>Y7+Y8</f>
        <v>299671.64063957322</v>
      </c>
      <c r="Z9" s="260">
        <f>Z7+Z8</f>
        <v>501530.05009300017</v>
      </c>
      <c r="AA9" s="260">
        <f>AA7+AA8</f>
        <v>672498.65564620413</v>
      </c>
      <c r="AB9" s="261" t="s">
        <v>928</v>
      </c>
      <c r="AC9" s="262"/>
    </row>
    <row r="10" spans="1:29" ht="15" customHeight="1" x14ac:dyDescent="0.15">
      <c r="A10" s="57" t="s">
        <v>929</v>
      </c>
      <c r="B10" s="245">
        <f>-Raw_Data!B11</f>
        <v>-2720</v>
      </c>
      <c r="C10" s="245">
        <f>-Raw_Data!C11</f>
        <v>-3090</v>
      </c>
      <c r="D10" s="245">
        <f>-Raw_Data!D11</f>
        <v>-3390</v>
      </c>
      <c r="E10" s="245">
        <f>-Raw_Data!E11</f>
        <v>-3714</v>
      </c>
      <c r="F10" s="245">
        <f>-Raw_Data!F11</f>
        <v>-3989</v>
      </c>
      <c r="G10" s="245">
        <f>-Raw_Data!G11</f>
        <v>-4291</v>
      </c>
      <c r="H10" s="245">
        <f>-Raw_Data!H11</f>
        <v>-4705</v>
      </c>
      <c r="I10" s="245">
        <f>-Raw_Data!I11</f>
        <v>-5512</v>
      </c>
      <c r="J10" s="245">
        <f>-Raw_Data!J11</f>
        <v>-6321</v>
      </c>
      <c r="K10" s="245">
        <f>-Raw_Data!K11</f>
        <v>-7054</v>
      </c>
      <c r="L10" s="77">
        <f>-Assumptions!M35*Assumptions!M13</f>
        <v>-7850</v>
      </c>
      <c r="M10" s="77">
        <f>-Assumptions!N35*Assumptions!N13</f>
        <v>-8600</v>
      </c>
      <c r="N10" s="77">
        <f>-Assumptions!O35*Assumptions!O13</f>
        <v>-9600</v>
      </c>
      <c r="O10" s="77">
        <f>-Assumptions!P35*Assumptions!P13</f>
        <v>-10500</v>
      </c>
      <c r="P10" s="77">
        <f>-Assumptions!Q35*Assumptions!Q13</f>
        <v>-11400</v>
      </c>
      <c r="Q10" s="77">
        <f>-Assumptions!R35*Assumptions!R13</f>
        <v>-12300</v>
      </c>
      <c r="R10" s="77">
        <f>-Assumptions!S35*Assumptions!S13</f>
        <v>-13000</v>
      </c>
      <c r="S10" s="77">
        <f>-Assumptions!T35*Assumptions!T13</f>
        <v>-13700</v>
      </c>
      <c r="T10" s="77">
        <f>-Assumptions!U35*Assumptions!U13</f>
        <v>-14400</v>
      </c>
      <c r="U10" s="77">
        <f>-Assumptions!V35*Assumptions!V13</f>
        <v>-15100</v>
      </c>
      <c r="W10" s="77">
        <f>SUM(B10:E10)</f>
        <v>-12914</v>
      </c>
      <c r="X10" s="77">
        <f>SUM(F10:I10)</f>
        <v>-18497</v>
      </c>
      <c r="Y10" s="77">
        <f>SUM(J10:M10)</f>
        <v>-29825</v>
      </c>
      <c r="Z10" s="77">
        <f>SUM(N10:Q10)</f>
        <v>-43800</v>
      </c>
      <c r="AA10" s="77">
        <f>SUM(R10:U10)</f>
        <v>-56200</v>
      </c>
      <c r="AB10" s="58" t="s">
        <v>930</v>
      </c>
    </row>
    <row r="11" spans="1:29" ht="15" customHeight="1" x14ac:dyDescent="0.15">
      <c r="A11" s="57" t="s">
        <v>931</v>
      </c>
      <c r="B11" s="245">
        <f>-Raw_Data!B12</f>
        <v>-777</v>
      </c>
      <c r="C11" s="245">
        <f>-Raw_Data!C12</f>
        <v>-842</v>
      </c>
      <c r="D11" s="245">
        <f>-Raw_Data!D12</f>
        <v>-897</v>
      </c>
      <c r="E11" s="245">
        <f>-Raw_Data!E12</f>
        <v>-975</v>
      </c>
      <c r="F11" s="245">
        <f>-Raw_Data!F12</f>
        <v>-1041</v>
      </c>
      <c r="G11" s="245">
        <f>-Raw_Data!G12</f>
        <v>-1122</v>
      </c>
      <c r="H11" s="245">
        <f>-Raw_Data!H12</f>
        <v>-1134</v>
      </c>
      <c r="I11" s="245">
        <f>-Raw_Data!I12</f>
        <v>-1282</v>
      </c>
      <c r="J11" s="245">
        <f>-Raw_Data!J12</f>
        <v>-1300</v>
      </c>
      <c r="K11" s="245">
        <f>-Raw_Data!K12</f>
        <v>-1354</v>
      </c>
      <c r="L11" s="77">
        <f>-Assumptions!M36*Assumptions!M13</f>
        <v>-1350</v>
      </c>
      <c r="M11" s="77">
        <f>-Assumptions!N36*Assumptions!N13</f>
        <v>-1430</v>
      </c>
      <c r="N11" s="77">
        <f>-Assumptions!O36*Assumptions!O13</f>
        <v>-1510</v>
      </c>
      <c r="O11" s="77">
        <f>-Assumptions!P36*Assumptions!P13</f>
        <v>-1590</v>
      </c>
      <c r="P11" s="77">
        <f>-Assumptions!Q36*Assumptions!Q13</f>
        <v>-1670</v>
      </c>
      <c r="Q11" s="77">
        <f>-Assumptions!R36*Assumptions!R13</f>
        <v>-1750</v>
      </c>
      <c r="R11" s="77">
        <f>-Assumptions!S36*Assumptions!S13</f>
        <v>-1820</v>
      </c>
      <c r="S11" s="77">
        <f>-Assumptions!T36*Assumptions!T13</f>
        <v>-1890</v>
      </c>
      <c r="T11" s="77">
        <f>-Assumptions!U36*Assumptions!U13</f>
        <v>-1960</v>
      </c>
      <c r="U11" s="77">
        <f>-Assumptions!V36*Assumptions!V13</f>
        <v>-2030</v>
      </c>
      <c r="W11" s="77">
        <f>SUM(B11:E11)</f>
        <v>-3491</v>
      </c>
      <c r="X11" s="77">
        <f>SUM(F11:I11)</f>
        <v>-4579</v>
      </c>
      <c r="Y11" s="77">
        <f>SUM(J11:M11)</f>
        <v>-5434</v>
      </c>
      <c r="Z11" s="77">
        <f>SUM(N11:Q11)</f>
        <v>-6520</v>
      </c>
      <c r="AA11" s="77">
        <f>SUM(R11:U11)</f>
        <v>-7700</v>
      </c>
      <c r="AB11" s="58" t="s">
        <v>932</v>
      </c>
    </row>
    <row r="12" spans="1:29" ht="15" customHeight="1" x14ac:dyDescent="0.15">
      <c r="A12" s="256" t="s">
        <v>933</v>
      </c>
      <c r="B12" s="257">
        <f>-Raw_Data!B13</f>
        <v>0</v>
      </c>
      <c r="C12" s="257">
        <f>-Raw_Data!C13</f>
        <v>0</v>
      </c>
      <c r="D12" s="257">
        <f>-Raw_Data!D13</f>
        <v>0</v>
      </c>
      <c r="E12" s="257">
        <f>-Raw_Data!E13</f>
        <v>0</v>
      </c>
      <c r="F12" s="257">
        <f>-Raw_Data!F13</f>
        <v>0</v>
      </c>
      <c r="G12" s="257">
        <f>-Raw_Data!G13</f>
        <v>0</v>
      </c>
      <c r="H12" s="257">
        <f>-Raw_Data!H13</f>
        <v>0</v>
      </c>
      <c r="I12" s="257">
        <f>-Raw_Data!I13</f>
        <v>0</v>
      </c>
      <c r="J12" s="257">
        <f>-Raw_Data!J13</f>
        <v>0</v>
      </c>
      <c r="K12" s="257">
        <f>-Raw_Data!K13</f>
        <v>0</v>
      </c>
      <c r="L12" s="258">
        <v>0</v>
      </c>
      <c r="M12" s="258">
        <v>0</v>
      </c>
      <c r="N12" s="258">
        <v>0</v>
      </c>
      <c r="O12" s="258">
        <v>0</v>
      </c>
      <c r="P12" s="258">
        <v>0</v>
      </c>
      <c r="Q12" s="258">
        <v>0</v>
      </c>
      <c r="R12" s="258">
        <v>0</v>
      </c>
      <c r="S12" s="258">
        <v>0</v>
      </c>
      <c r="T12" s="258">
        <v>0</v>
      </c>
      <c r="U12" s="258">
        <v>0</v>
      </c>
      <c r="W12" s="258">
        <f>SUM(B12:E12)</f>
        <v>0</v>
      </c>
      <c r="X12" s="258">
        <f>SUM(F12:I12)</f>
        <v>0</v>
      </c>
      <c r="Y12" s="258">
        <f>SUM(J12:M12)</f>
        <v>0</v>
      </c>
      <c r="Z12" s="258">
        <f>SUM(N12:Q12)</f>
        <v>0</v>
      </c>
      <c r="AA12" s="258">
        <f>SUM(R12:U12)</f>
        <v>0</v>
      </c>
      <c r="AB12" s="58" t="s">
        <v>934</v>
      </c>
    </row>
    <row r="13" spans="1:29" ht="15" customHeight="1" x14ac:dyDescent="0.15">
      <c r="A13" s="56" t="s">
        <v>137</v>
      </c>
      <c r="B13" s="260">
        <f t="shared" ref="B13:U13" si="1">B9+B10+B11+B12</f>
        <v>16909</v>
      </c>
      <c r="C13" s="260">
        <f t="shared" si="1"/>
        <v>18642</v>
      </c>
      <c r="D13" s="260">
        <f t="shared" si="1"/>
        <v>21869</v>
      </c>
      <c r="E13" s="260">
        <f t="shared" si="1"/>
        <v>24034</v>
      </c>
      <c r="F13" s="260">
        <f t="shared" si="1"/>
        <v>21638</v>
      </c>
      <c r="G13" s="260">
        <f t="shared" si="1"/>
        <v>28440</v>
      </c>
      <c r="H13" s="260">
        <f t="shared" si="1"/>
        <v>36010</v>
      </c>
      <c r="I13" s="260">
        <f t="shared" si="1"/>
        <v>44299</v>
      </c>
      <c r="J13" s="260">
        <f t="shared" si="1"/>
        <v>53536</v>
      </c>
      <c r="K13" s="260">
        <f t="shared" si="1"/>
        <v>63734</v>
      </c>
      <c r="L13" s="260">
        <f t="shared" si="1"/>
        <v>71926.513773615996</v>
      </c>
      <c r="M13" s="260">
        <f t="shared" si="1"/>
        <v>75216.126865957194</v>
      </c>
      <c r="N13" s="260">
        <f t="shared" si="1"/>
        <v>92344.7890420779</v>
      </c>
      <c r="O13" s="260">
        <f t="shared" si="1"/>
        <v>107099.5813795258</v>
      </c>
      <c r="P13" s="260">
        <f t="shared" si="1"/>
        <v>120243.95862158536</v>
      </c>
      <c r="Q13" s="260">
        <f t="shared" si="1"/>
        <v>131521.72104981117</v>
      </c>
      <c r="R13" s="260">
        <f t="shared" si="1"/>
        <v>142001.83491443744</v>
      </c>
      <c r="S13" s="260">
        <f t="shared" si="1"/>
        <v>149735.10985315678</v>
      </c>
      <c r="T13" s="260">
        <f t="shared" si="1"/>
        <v>155960.74597661063</v>
      </c>
      <c r="U13" s="260">
        <f t="shared" si="1"/>
        <v>160900.96490199928</v>
      </c>
      <c r="V13" s="56"/>
      <c r="W13" s="260">
        <f>SUM(B13:E13)</f>
        <v>81454</v>
      </c>
      <c r="X13" s="260">
        <f>SUM(F13:I13)</f>
        <v>130387</v>
      </c>
      <c r="Y13" s="260">
        <f>SUM(J13:M13)</f>
        <v>264412.64063957322</v>
      </c>
      <c r="Z13" s="260">
        <f>SUM(N13:Q13)</f>
        <v>451210.05009300023</v>
      </c>
      <c r="AA13" s="260">
        <f>SUM(R13:U13)</f>
        <v>608598.65564620413</v>
      </c>
      <c r="AB13" s="58" t="s">
        <v>935</v>
      </c>
      <c r="AC13" s="262"/>
    </row>
    <row r="14" spans="1:29" ht="15" hidden="1" customHeight="1" x14ac:dyDescent="0.15">
      <c r="A14" s="57" t="s">
        <v>936</v>
      </c>
      <c r="B14" s="77">
        <f>Segment!B76</f>
        <v>16909</v>
      </c>
      <c r="C14" s="77">
        <f>Segment!C76</f>
        <v>18642</v>
      </c>
      <c r="D14" s="77">
        <f>Segment!D76</f>
        <v>21869</v>
      </c>
      <c r="E14" s="77">
        <f>Segment!E76</f>
        <v>24034</v>
      </c>
      <c r="F14" s="77">
        <f>Segment!F76</f>
        <v>21638</v>
      </c>
      <c r="G14" s="77">
        <f>Segment!G76</f>
        <v>28440</v>
      </c>
      <c r="H14" s="77">
        <f>Segment!H76</f>
        <v>36010</v>
      </c>
      <c r="I14" s="77">
        <f>Segment!I76</f>
        <v>44299</v>
      </c>
      <c r="J14" s="77">
        <f>Segment!J76</f>
        <v>53536</v>
      </c>
      <c r="K14" s="77">
        <f>Segment!K76</f>
        <v>63734</v>
      </c>
      <c r="L14" s="77">
        <f>Segment!L76</f>
        <v>71926.513773615996</v>
      </c>
      <c r="M14" s="77">
        <f>Segment!M76</f>
        <v>75216.126865957194</v>
      </c>
      <c r="N14" s="77">
        <f>Segment!N76</f>
        <v>92344.7890420779</v>
      </c>
      <c r="O14" s="77">
        <f>Segment!O76</f>
        <v>107099.5813795258</v>
      </c>
      <c r="P14" s="77">
        <f>Segment!P76</f>
        <v>120243.95862158536</v>
      </c>
      <c r="Q14" s="77">
        <f>Segment!Q76</f>
        <v>131521.72104981117</v>
      </c>
      <c r="R14" s="77">
        <f>Segment!R76</f>
        <v>142001.83491443744</v>
      </c>
      <c r="S14" s="77">
        <f>Segment!S76</f>
        <v>149735.10985315678</v>
      </c>
      <c r="T14" s="77">
        <f>Segment!T76</f>
        <v>155960.74597661063</v>
      </c>
      <c r="U14" s="77">
        <f>Segment!U76</f>
        <v>160900.96490199928</v>
      </c>
      <c r="W14" s="77">
        <f>Segment!W76</f>
        <v>81454</v>
      </c>
      <c r="X14" s="77">
        <f>Segment!X76</f>
        <v>130387</v>
      </c>
      <c r="Y14" s="77">
        <f>Segment!Y76</f>
        <v>264412.64063957322</v>
      </c>
      <c r="Z14" s="77">
        <f>Segment!Z76</f>
        <v>451210.05009300023</v>
      </c>
      <c r="AA14" s="77">
        <f>Segment!AA76</f>
        <v>608598.65564620413</v>
      </c>
      <c r="AB14" s="58" t="s">
        <v>937</v>
      </c>
    </row>
    <row r="15" spans="1:29" ht="15" customHeight="1" x14ac:dyDescent="0.15">
      <c r="A15" s="57" t="s">
        <v>938</v>
      </c>
      <c r="B15" s="77">
        <f t="shared" ref="B15:U15" si="2">B14-B13</f>
        <v>0</v>
      </c>
      <c r="C15" s="77">
        <f t="shared" si="2"/>
        <v>0</v>
      </c>
      <c r="D15" s="77">
        <f t="shared" si="2"/>
        <v>0</v>
      </c>
      <c r="E15" s="77">
        <f t="shared" si="2"/>
        <v>0</v>
      </c>
      <c r="F15" s="77">
        <f t="shared" si="2"/>
        <v>0</v>
      </c>
      <c r="G15" s="77">
        <f t="shared" si="2"/>
        <v>0</v>
      </c>
      <c r="H15" s="77">
        <f t="shared" si="2"/>
        <v>0</v>
      </c>
      <c r="I15" s="77">
        <f t="shared" si="2"/>
        <v>0</v>
      </c>
      <c r="J15" s="77">
        <f t="shared" si="2"/>
        <v>0</v>
      </c>
      <c r="K15" s="77">
        <f t="shared" si="2"/>
        <v>0</v>
      </c>
      <c r="L15" s="77">
        <f t="shared" si="2"/>
        <v>0</v>
      </c>
      <c r="M15" s="77">
        <f t="shared" si="2"/>
        <v>0</v>
      </c>
      <c r="N15" s="77">
        <f t="shared" si="2"/>
        <v>0</v>
      </c>
      <c r="O15" s="77">
        <f t="shared" si="2"/>
        <v>0</v>
      </c>
      <c r="P15" s="77">
        <f t="shared" si="2"/>
        <v>0</v>
      </c>
      <c r="Q15" s="77">
        <f t="shared" si="2"/>
        <v>0</v>
      </c>
      <c r="R15" s="77">
        <f t="shared" si="2"/>
        <v>0</v>
      </c>
      <c r="S15" s="77">
        <f t="shared" si="2"/>
        <v>0</v>
      </c>
      <c r="T15" s="77">
        <f t="shared" si="2"/>
        <v>0</v>
      </c>
      <c r="U15" s="77">
        <f t="shared" si="2"/>
        <v>0</v>
      </c>
      <c r="W15" s="77">
        <f>W14-W13</f>
        <v>0</v>
      </c>
      <c r="X15" s="77">
        <f>X14-X13</f>
        <v>0</v>
      </c>
      <c r="Y15" s="77">
        <f>Y14-Y13</f>
        <v>0</v>
      </c>
      <c r="Z15" s="77">
        <f>Z14-Z13</f>
        <v>0</v>
      </c>
      <c r="AA15" s="77">
        <f>AA14-AA13</f>
        <v>0</v>
      </c>
      <c r="AB15" s="58" t="s">
        <v>939</v>
      </c>
    </row>
    <row r="16" spans="1:29" ht="15" customHeight="1" x14ac:dyDescent="0.15">
      <c r="A16" s="57" t="s">
        <v>940</v>
      </c>
      <c r="B16" s="245">
        <f>Raw_Data!B15</f>
        <v>359</v>
      </c>
      <c r="C16" s="245">
        <f>Raw_Data!C15</f>
        <v>444</v>
      </c>
      <c r="D16" s="245">
        <f>Raw_Data!D15</f>
        <v>472</v>
      </c>
      <c r="E16" s="245">
        <f>Raw_Data!E15</f>
        <v>511</v>
      </c>
      <c r="F16" s="245">
        <f>Raw_Data!F15</f>
        <v>515</v>
      </c>
      <c r="G16" s="245">
        <f>Raw_Data!G15</f>
        <v>592</v>
      </c>
      <c r="H16" s="245">
        <f>Raw_Data!H15</f>
        <v>624</v>
      </c>
      <c r="I16" s="245">
        <f>Raw_Data!I15</f>
        <v>568</v>
      </c>
      <c r="J16" s="245">
        <f>Raw_Data!J15</f>
        <v>540</v>
      </c>
      <c r="K16" s="245">
        <f>Raw_Data!K15</f>
        <v>496</v>
      </c>
      <c r="L16" s="77">
        <f>(BS!K7+BS!K8-Raw_Data!$K$368)*Assumptions!M37*Assumptions!M13</f>
        <v>557.59721863514449</v>
      </c>
      <c r="M16" s="77">
        <f>(BS!L7+BS!L8-Raw_Data!$K$368)*Assumptions!N37*Assumptions!N13</f>
        <v>741.45074576096602</v>
      </c>
      <c r="N16" s="77">
        <f>(BS!M7+BS!M8-Raw_Data!$K$368)*Assumptions!O37*Assumptions!O13</f>
        <v>950.99881169832145</v>
      </c>
      <c r="O16" s="77">
        <f>(BS!N7+BS!N8-Raw_Data!$K$368)*Assumptions!P37*Assumptions!P13</f>
        <v>1196.1662482535835</v>
      </c>
      <c r="P16" s="77">
        <f>(BS!O7+BS!O8-Raw_Data!$K$368)*Assumptions!Q37*Assumptions!Q13</f>
        <v>1394.674369901923</v>
      </c>
      <c r="Q16" s="77">
        <f>(BS!P7+BS!P8-Raw_Data!$K$368)*Assumptions!R37*Assumptions!R13</f>
        <v>1770.410661538566</v>
      </c>
      <c r="R16" s="77">
        <f>(BS!Q7+BS!Q8-Raw_Data!$K$368)*Assumptions!S37*Assumptions!S13</f>
        <v>2200.1599208571256</v>
      </c>
      <c r="S16" s="77">
        <f>(BS!R7+BS!R8-Raw_Data!$K$368)*Assumptions!T37*Assumptions!T13</f>
        <v>2732.2662722632604</v>
      </c>
      <c r="T16" s="77">
        <f>(BS!S7+BS!S8-Raw_Data!$K$368)*Assumptions!U37*Assumptions!U13</f>
        <v>3294.758331137662</v>
      </c>
      <c r="U16" s="77">
        <f>(BS!T7+BS!T8-Raw_Data!$K$368)*Assumptions!V37*Assumptions!V13</f>
        <v>3891.5688903857426</v>
      </c>
      <c r="W16" s="77">
        <f>SUM(B16:E16)</f>
        <v>1786</v>
      </c>
      <c r="X16" s="77">
        <f>SUM(F16:I16)</f>
        <v>2299</v>
      </c>
      <c r="Y16" s="77">
        <f>SUM(J16:M16)</f>
        <v>2335.0479643961107</v>
      </c>
      <c r="Z16" s="77">
        <f>SUM(N16:Q16)</f>
        <v>5312.2500913923941</v>
      </c>
      <c r="AA16" s="77">
        <f>SUM(R16:U16)</f>
        <v>12118.75341464379</v>
      </c>
      <c r="AB16" s="58" t="s">
        <v>941</v>
      </c>
    </row>
    <row r="17" spans="1:29" ht="15" customHeight="1" x14ac:dyDescent="0.15">
      <c r="A17" s="57" t="s">
        <v>942</v>
      </c>
      <c r="B17" s="245">
        <f>-Raw_Data!B16</f>
        <v>-64</v>
      </c>
      <c r="C17" s="245">
        <f>-Raw_Data!C16</f>
        <v>-61</v>
      </c>
      <c r="D17" s="245">
        <f>-Raw_Data!D16</f>
        <v>-61</v>
      </c>
      <c r="E17" s="245">
        <f>-Raw_Data!E16</f>
        <v>-61</v>
      </c>
      <c r="F17" s="245">
        <f>-Raw_Data!F16</f>
        <v>-63</v>
      </c>
      <c r="G17" s="245">
        <f>-Raw_Data!G16</f>
        <v>-62</v>
      </c>
      <c r="H17" s="245">
        <f>-Raw_Data!H16</f>
        <v>-61</v>
      </c>
      <c r="I17" s="245">
        <f>-Raw_Data!I16</f>
        <v>-73</v>
      </c>
      <c r="J17" s="245">
        <f>-Raw_Data!J16</f>
        <v>-102</v>
      </c>
      <c r="K17" s="245">
        <f>-Raw_Data!K16</f>
        <v>-227</v>
      </c>
      <c r="L17" s="77">
        <f>-(BS!K23+BS!K25)*Assumptions!M38*Assumptions!M13</f>
        <v>-400.392</v>
      </c>
      <c r="M17" s="77">
        <f>-(BS!L23+BS!L25)*Assumptions!N38*Assumptions!N13</f>
        <v>-400.392</v>
      </c>
      <c r="N17" s="77">
        <f>-(BS!M23+BS!M25)*Assumptions!O38*Assumptions!O13</f>
        <v>-400.392</v>
      </c>
      <c r="O17" s="77">
        <f>-(BS!N23+BS!N25)*Assumptions!P38*Assumptions!P13</f>
        <v>-400.392</v>
      </c>
      <c r="P17" s="77">
        <f>-(BS!O23+BS!O25)*Assumptions!Q38*Assumptions!Q13</f>
        <v>-400.392</v>
      </c>
      <c r="Q17" s="77">
        <f>-(BS!P23+BS!P25)*Assumptions!R38*Assumptions!R13</f>
        <v>-400.392</v>
      </c>
      <c r="R17" s="77">
        <f>-(BS!Q23+BS!Q25)*Assumptions!S38*Assumptions!S13</f>
        <v>-400.392</v>
      </c>
      <c r="S17" s="77">
        <f>-(BS!R23+BS!R25)*Assumptions!T38*Assumptions!T13</f>
        <v>-400.392</v>
      </c>
      <c r="T17" s="77">
        <f>-(BS!S23+BS!S25)*Assumptions!U38*Assumptions!U13</f>
        <v>-400.392</v>
      </c>
      <c r="U17" s="77">
        <f>-(BS!T23+BS!T25)*Assumptions!V38*Assumptions!V13</f>
        <v>-400.392</v>
      </c>
      <c r="W17" s="77">
        <f>SUM(B17:E17)</f>
        <v>-247</v>
      </c>
      <c r="X17" s="77">
        <f>SUM(F17:I17)</f>
        <v>-259</v>
      </c>
      <c r="Y17" s="77">
        <f>SUM(J17:M17)</f>
        <v>-1129.7840000000001</v>
      </c>
      <c r="Z17" s="77">
        <f>SUM(N17:Q17)</f>
        <v>-1601.568</v>
      </c>
      <c r="AA17" s="77">
        <f>SUM(R17:U17)</f>
        <v>-1601.568</v>
      </c>
      <c r="AB17" s="58" t="s">
        <v>943</v>
      </c>
    </row>
    <row r="18" spans="1:29" ht="15" customHeight="1" x14ac:dyDescent="0.15">
      <c r="A18" s="256" t="s">
        <v>944</v>
      </c>
      <c r="B18" s="257">
        <f>Raw_Data!B17</f>
        <v>75</v>
      </c>
      <c r="C18" s="257">
        <f>Raw_Data!C17</f>
        <v>189</v>
      </c>
      <c r="D18" s="257">
        <f>Raw_Data!D17</f>
        <v>36</v>
      </c>
      <c r="E18" s="257">
        <f>Raw_Data!E17</f>
        <v>733</v>
      </c>
      <c r="F18" s="257">
        <f>Raw_Data!F17</f>
        <v>-180</v>
      </c>
      <c r="G18" s="257">
        <f>Raw_Data!G17</f>
        <v>2236</v>
      </c>
      <c r="H18" s="257">
        <f>Raw_Data!H17</f>
        <v>1363</v>
      </c>
      <c r="I18" s="257">
        <f>Raw_Data!I17</f>
        <v>5604</v>
      </c>
      <c r="J18" s="257">
        <f>Raw_Data!J17</f>
        <v>15929</v>
      </c>
      <c r="K18" s="257">
        <f>Raw_Data!K17</f>
        <v>7504</v>
      </c>
      <c r="L18" s="258">
        <f>Assumptions!M39</f>
        <v>0</v>
      </c>
      <c r="M18" s="258">
        <f>Assumptions!N39</f>
        <v>0</v>
      </c>
      <c r="N18" s="258">
        <f>Assumptions!O39</f>
        <v>0</v>
      </c>
      <c r="O18" s="258">
        <f>Assumptions!P39</f>
        <v>0</v>
      </c>
      <c r="P18" s="258">
        <f>Assumptions!Q39</f>
        <v>0</v>
      </c>
      <c r="Q18" s="258">
        <f>Assumptions!R39</f>
        <v>0</v>
      </c>
      <c r="R18" s="258">
        <f>Assumptions!S39</f>
        <v>0</v>
      </c>
      <c r="S18" s="258">
        <f>Assumptions!T39</f>
        <v>0</v>
      </c>
      <c r="T18" s="258">
        <f>Assumptions!U39</f>
        <v>0</v>
      </c>
      <c r="U18" s="258">
        <f>Assumptions!V39</f>
        <v>0</v>
      </c>
      <c r="W18" s="258">
        <f>SUM(B18:E18)</f>
        <v>1033</v>
      </c>
      <c r="X18" s="258">
        <f>SUM(F18:I18)</f>
        <v>9023</v>
      </c>
      <c r="Y18" s="258">
        <f>SUM(J18:M18)</f>
        <v>23433</v>
      </c>
      <c r="Z18" s="258">
        <f>SUM(N18:Q18)</f>
        <v>0</v>
      </c>
      <c r="AA18" s="258">
        <f>SUM(R18:U18)</f>
        <v>0</v>
      </c>
    </row>
    <row r="19" spans="1:29" ht="15" customHeight="1" x14ac:dyDescent="0.15">
      <c r="A19" s="282" t="s">
        <v>945</v>
      </c>
      <c r="B19" s="283">
        <f t="shared" ref="B19:U19" si="3">B16+B17+B18</f>
        <v>370</v>
      </c>
      <c r="C19" s="283">
        <f t="shared" si="3"/>
        <v>572</v>
      </c>
      <c r="D19" s="283">
        <f t="shared" si="3"/>
        <v>447</v>
      </c>
      <c r="E19" s="283">
        <f t="shared" si="3"/>
        <v>1183</v>
      </c>
      <c r="F19" s="283">
        <f t="shared" si="3"/>
        <v>272</v>
      </c>
      <c r="G19" s="283">
        <f t="shared" si="3"/>
        <v>2766</v>
      </c>
      <c r="H19" s="283">
        <f t="shared" si="3"/>
        <v>1926</v>
      </c>
      <c r="I19" s="283">
        <f t="shared" si="3"/>
        <v>6099</v>
      </c>
      <c r="J19" s="283">
        <f t="shared" si="3"/>
        <v>16367</v>
      </c>
      <c r="K19" s="283">
        <f t="shared" si="3"/>
        <v>7773</v>
      </c>
      <c r="L19" s="283">
        <f t="shared" si="3"/>
        <v>157.20521863514449</v>
      </c>
      <c r="M19" s="283">
        <f t="shared" si="3"/>
        <v>341.05874576096602</v>
      </c>
      <c r="N19" s="283">
        <f t="shared" si="3"/>
        <v>550.60681169832151</v>
      </c>
      <c r="O19" s="283">
        <f t="shared" si="3"/>
        <v>795.77424825358344</v>
      </c>
      <c r="P19" s="283">
        <f t="shared" si="3"/>
        <v>994.28236990192295</v>
      </c>
      <c r="Q19" s="283">
        <f t="shared" si="3"/>
        <v>1370.018661538566</v>
      </c>
      <c r="R19" s="283">
        <f t="shared" si="3"/>
        <v>1799.7679208571255</v>
      </c>
      <c r="S19" s="283">
        <f t="shared" si="3"/>
        <v>2331.8742722632605</v>
      </c>
      <c r="T19" s="283">
        <f t="shared" si="3"/>
        <v>2894.3663311376622</v>
      </c>
      <c r="U19" s="283">
        <f t="shared" si="3"/>
        <v>3491.1768903857428</v>
      </c>
      <c r="V19" s="56"/>
      <c r="W19" s="283">
        <f>W16+W17+W18</f>
        <v>2572</v>
      </c>
      <c r="X19" s="283">
        <f>X16+X17+X18</f>
        <v>11063</v>
      </c>
      <c r="Y19" s="283">
        <f>Y16+Y17+Y18</f>
        <v>24638.263964396112</v>
      </c>
      <c r="Z19" s="283">
        <f>Z16+Z17+Z18</f>
        <v>3710.6820913923939</v>
      </c>
      <c r="AA19" s="283">
        <f>AA16+AA17+AA18</f>
        <v>10517.185414643791</v>
      </c>
      <c r="AB19" s="262"/>
      <c r="AC19" s="262"/>
    </row>
    <row r="20" spans="1:29" ht="15" customHeight="1" x14ac:dyDescent="0.15">
      <c r="A20" s="56" t="s">
        <v>946</v>
      </c>
      <c r="B20" s="260">
        <f t="shared" ref="B20:U20" si="4">B13+B19</f>
        <v>17279</v>
      </c>
      <c r="C20" s="260">
        <f t="shared" si="4"/>
        <v>19214</v>
      </c>
      <c r="D20" s="260">
        <f t="shared" si="4"/>
        <v>22316</v>
      </c>
      <c r="E20" s="260">
        <f t="shared" si="4"/>
        <v>25217</v>
      </c>
      <c r="F20" s="260">
        <f t="shared" si="4"/>
        <v>21910</v>
      </c>
      <c r="G20" s="260">
        <f t="shared" si="4"/>
        <v>31206</v>
      </c>
      <c r="H20" s="260">
        <f t="shared" si="4"/>
        <v>37936</v>
      </c>
      <c r="I20" s="260">
        <f t="shared" si="4"/>
        <v>50398</v>
      </c>
      <c r="J20" s="260">
        <f t="shared" si="4"/>
        <v>69903</v>
      </c>
      <c r="K20" s="260">
        <f t="shared" si="4"/>
        <v>71507</v>
      </c>
      <c r="L20" s="260">
        <f t="shared" si="4"/>
        <v>72083.718992251146</v>
      </c>
      <c r="M20" s="260">
        <f t="shared" si="4"/>
        <v>75557.18561171816</v>
      </c>
      <c r="N20" s="260">
        <f t="shared" si="4"/>
        <v>92895.395853776223</v>
      </c>
      <c r="O20" s="260">
        <f t="shared" si="4"/>
        <v>107895.35562777938</v>
      </c>
      <c r="P20" s="260">
        <f t="shared" si="4"/>
        <v>121238.24099148728</v>
      </c>
      <c r="Q20" s="260">
        <f t="shared" si="4"/>
        <v>132891.73971134974</v>
      </c>
      <c r="R20" s="260">
        <f t="shared" si="4"/>
        <v>143801.60283529456</v>
      </c>
      <c r="S20" s="260">
        <f t="shared" si="4"/>
        <v>152066.98412542004</v>
      </c>
      <c r="T20" s="260">
        <f t="shared" si="4"/>
        <v>158855.11230774829</v>
      </c>
      <c r="U20" s="260">
        <f t="shared" si="4"/>
        <v>164392.14179238502</v>
      </c>
      <c r="V20" s="56"/>
      <c r="W20" s="260">
        <f>W13+W19</f>
        <v>84026</v>
      </c>
      <c r="X20" s="260">
        <f>X13+X19</f>
        <v>141450</v>
      </c>
      <c r="Y20" s="260">
        <f>Y13+Y19</f>
        <v>289050.90460396931</v>
      </c>
      <c r="Z20" s="260">
        <f>Z13+Z19</f>
        <v>454920.73218439263</v>
      </c>
      <c r="AA20" s="260">
        <f>AA13+AA19</f>
        <v>619115.84106084798</v>
      </c>
      <c r="AB20" s="262"/>
      <c r="AC20" s="262"/>
    </row>
    <row r="21" spans="1:29" ht="15" customHeight="1" x14ac:dyDescent="0.15">
      <c r="A21" s="256" t="s">
        <v>947</v>
      </c>
      <c r="B21" s="257">
        <f>-Raw_Data!B19</f>
        <v>-2398</v>
      </c>
      <c r="C21" s="257">
        <f>-Raw_Data!C19</f>
        <v>-2615</v>
      </c>
      <c r="D21" s="257">
        <f>-Raw_Data!D19</f>
        <v>-3007</v>
      </c>
      <c r="E21" s="257">
        <f>-Raw_Data!E19</f>
        <v>-3126</v>
      </c>
      <c r="F21" s="257">
        <f>-Raw_Data!F19</f>
        <v>-3135</v>
      </c>
      <c r="G21" s="257">
        <f>-Raw_Data!G19</f>
        <v>-4784</v>
      </c>
      <c r="H21" s="257">
        <f>-Raw_Data!H19</f>
        <v>-6026</v>
      </c>
      <c r="I21" s="257">
        <f>-Raw_Data!I19</f>
        <v>-7438</v>
      </c>
      <c r="J21" s="257">
        <f>-Raw_Data!J19</f>
        <v>-11582</v>
      </c>
      <c r="K21" s="257">
        <f>-Raw_Data!K19</f>
        <v>-11819</v>
      </c>
      <c r="L21" s="258">
        <f>-L20*Assumptions!M40</f>
        <v>-12975.069418605206</v>
      </c>
      <c r="M21" s="258">
        <f>-M20*Assumptions!N40</f>
        <v>-12844.721553992089</v>
      </c>
      <c r="N21" s="258">
        <f>-N20*Assumptions!O40</f>
        <v>-15792.21729514196</v>
      </c>
      <c r="O21" s="258">
        <f>-O20*Assumptions!P40</f>
        <v>-18342.210456722496</v>
      </c>
      <c r="P21" s="258">
        <f>-P20*Assumptions!Q40</f>
        <v>-20610.500968552838</v>
      </c>
      <c r="Q21" s="258">
        <f>-Q20*Assumptions!R40</f>
        <v>-22591.595750929457</v>
      </c>
      <c r="R21" s="258">
        <f>-R20*Assumptions!S40</f>
        <v>-24446.272482000077</v>
      </c>
      <c r="S21" s="258">
        <f>-S20*Assumptions!T40</f>
        <v>-25851.387301321411</v>
      </c>
      <c r="T21" s="258">
        <f>-T20*Assumptions!U40</f>
        <v>-27005.369092317211</v>
      </c>
      <c r="U21" s="258">
        <f>-U20*Assumptions!V40</f>
        <v>-27946.664104705455</v>
      </c>
      <c r="W21" s="258">
        <f>SUM(B21:E21)</f>
        <v>-11146</v>
      </c>
      <c r="X21" s="258">
        <f>SUM(F21:I21)</f>
        <v>-21383</v>
      </c>
      <c r="Y21" s="258">
        <f>SUM(J21:M21)</f>
        <v>-49220.790972597293</v>
      </c>
      <c r="Z21" s="258">
        <f>SUM(N21:Q21)</f>
        <v>-77336.52447134674</v>
      </c>
      <c r="AA21" s="258">
        <f>SUM(R21:U21)</f>
        <v>-105249.69298034416</v>
      </c>
      <c r="AB21" s="58" t="s">
        <v>948</v>
      </c>
    </row>
    <row r="22" spans="1:29" ht="15" customHeight="1" x14ac:dyDescent="0.15">
      <c r="A22" s="56" t="s">
        <v>85</v>
      </c>
      <c r="B22" s="260">
        <f t="shared" ref="B22:U22" si="5">B20+B21</f>
        <v>14881</v>
      </c>
      <c r="C22" s="260">
        <f t="shared" si="5"/>
        <v>16599</v>
      </c>
      <c r="D22" s="260">
        <f t="shared" si="5"/>
        <v>19309</v>
      </c>
      <c r="E22" s="260">
        <f t="shared" si="5"/>
        <v>22091</v>
      </c>
      <c r="F22" s="260">
        <f t="shared" si="5"/>
        <v>18775</v>
      </c>
      <c r="G22" s="260">
        <f t="shared" si="5"/>
        <v>26422</v>
      </c>
      <c r="H22" s="260">
        <f t="shared" si="5"/>
        <v>31910</v>
      </c>
      <c r="I22" s="260">
        <f t="shared" si="5"/>
        <v>42960</v>
      </c>
      <c r="J22" s="260">
        <f t="shared" si="5"/>
        <v>58321</v>
      </c>
      <c r="K22" s="260">
        <f t="shared" si="5"/>
        <v>59688</v>
      </c>
      <c r="L22" s="260">
        <f t="shared" si="5"/>
        <v>59108.64957364594</v>
      </c>
      <c r="M22" s="260">
        <f t="shared" si="5"/>
        <v>62712.464057726072</v>
      </c>
      <c r="N22" s="260">
        <f t="shared" si="5"/>
        <v>77103.178558634259</v>
      </c>
      <c r="O22" s="260">
        <f t="shared" si="5"/>
        <v>89553.14517105688</v>
      </c>
      <c r="P22" s="260">
        <f t="shared" si="5"/>
        <v>100627.74002293445</v>
      </c>
      <c r="Q22" s="260">
        <f t="shared" si="5"/>
        <v>110300.14396042029</v>
      </c>
      <c r="R22" s="260">
        <f t="shared" si="5"/>
        <v>119355.33035329448</v>
      </c>
      <c r="S22" s="260">
        <f t="shared" si="5"/>
        <v>126215.59682409864</v>
      </c>
      <c r="T22" s="260">
        <f t="shared" si="5"/>
        <v>131849.74321543108</v>
      </c>
      <c r="U22" s="260">
        <f t="shared" si="5"/>
        <v>136445.47768767958</v>
      </c>
      <c r="V22" s="56"/>
      <c r="W22" s="260">
        <f>W20+W21</f>
        <v>72880</v>
      </c>
      <c r="X22" s="260">
        <f>X20+X21</f>
        <v>120067</v>
      </c>
      <c r="Y22" s="260">
        <f>Y20+Y21</f>
        <v>239830.11363137202</v>
      </c>
      <c r="Z22" s="260">
        <f>Z20+Z21</f>
        <v>377584.20771304588</v>
      </c>
      <c r="AA22" s="260">
        <f>AA20+AA21</f>
        <v>513866.1480805038</v>
      </c>
      <c r="AB22" s="262"/>
      <c r="AC22" s="262"/>
    </row>
    <row r="24" spans="1:29" ht="15" customHeight="1" x14ac:dyDescent="0.15">
      <c r="A24" s="58" t="s">
        <v>949</v>
      </c>
      <c r="B24" s="281">
        <f t="shared" ref="B24:U24" si="6">IF(B7=0,0,B9/B7)</f>
        <v>0.78352019659038552</v>
      </c>
      <c r="C24" s="281">
        <f t="shared" si="6"/>
        <v>0.75146471371504664</v>
      </c>
      <c r="D24" s="281">
        <f t="shared" si="6"/>
        <v>0.74556752750698363</v>
      </c>
      <c r="E24" s="281">
        <f t="shared" si="6"/>
        <v>0.73028908494571709</v>
      </c>
      <c r="F24" s="281">
        <f t="shared" si="6"/>
        <v>0.60523807362353044</v>
      </c>
      <c r="G24" s="281">
        <f t="shared" si="6"/>
        <v>0.72423678411740799</v>
      </c>
      <c r="H24" s="281">
        <f t="shared" si="6"/>
        <v>0.7341157071185489</v>
      </c>
      <c r="I24" s="281">
        <f t="shared" si="6"/>
        <v>0.74996697344665109</v>
      </c>
      <c r="J24" s="281">
        <f t="shared" si="6"/>
        <v>0.74933529375727503</v>
      </c>
      <c r="K24" s="281">
        <f t="shared" si="6"/>
        <v>0.74975317238440675</v>
      </c>
      <c r="L24" s="281">
        <f t="shared" si="6"/>
        <v>0.74</v>
      </c>
      <c r="M24" s="281">
        <f t="shared" si="6"/>
        <v>0.71499999999999997</v>
      </c>
      <c r="N24" s="281">
        <f t="shared" si="6"/>
        <v>0.72</v>
      </c>
      <c r="O24" s="281">
        <f t="shared" si="6"/>
        <v>0.72399999999999987</v>
      </c>
      <c r="P24" s="281">
        <f t="shared" si="6"/>
        <v>0.72699999999999998</v>
      </c>
      <c r="Q24" s="281">
        <f t="shared" si="6"/>
        <v>0.72899999999999998</v>
      </c>
      <c r="R24" s="281">
        <f t="shared" si="6"/>
        <v>0.72899999999999998</v>
      </c>
      <c r="S24" s="281">
        <f t="shared" si="6"/>
        <v>0.72899999999999987</v>
      </c>
      <c r="T24" s="281">
        <f t="shared" si="6"/>
        <v>0.72899999999999998</v>
      </c>
      <c r="U24" s="281">
        <f t="shared" si="6"/>
        <v>0.72899999999999998</v>
      </c>
      <c r="W24" s="281">
        <f>IF(W7=0,0,W9/W7)</f>
        <v>0.74989463359310937</v>
      </c>
      <c r="X24" s="281">
        <f>IF(X7=0,0,X9/X7)</f>
        <v>0.71068084357547079</v>
      </c>
      <c r="Y24" s="281">
        <f>IF(Y7=0,0,Y9/Y7)</f>
        <v>0.73685198009603881</v>
      </c>
      <c r="Z24" s="281">
        <f>IF(Z7=0,0,Z9/Z7)</f>
        <v>0.72540851262082662</v>
      </c>
      <c r="AA24" s="281">
        <f>IF(AA7=0,0,AA9/AA7)</f>
        <v>0.72899999999999998</v>
      </c>
    </row>
    <row r="25" spans="1:29" ht="15" customHeight="1" x14ac:dyDescent="0.15">
      <c r="A25" s="58" t="s">
        <v>950</v>
      </c>
      <c r="B25" s="281">
        <f t="shared" ref="B25:U25" si="7">IF(B7=0,0,B13/B7)</f>
        <v>0.64924742743050223</v>
      </c>
      <c r="C25" s="281">
        <f t="shared" si="7"/>
        <v>0.62057256990679099</v>
      </c>
      <c r="D25" s="281">
        <f t="shared" si="7"/>
        <v>0.62336810900176731</v>
      </c>
      <c r="E25" s="281">
        <f t="shared" si="7"/>
        <v>0.61107014822913219</v>
      </c>
      <c r="F25" s="281">
        <f t="shared" si="7"/>
        <v>0.49108074985248057</v>
      </c>
      <c r="G25" s="281">
        <f t="shared" si="7"/>
        <v>0.60843334830883766</v>
      </c>
      <c r="H25" s="281">
        <f t="shared" si="7"/>
        <v>0.63168789250254365</v>
      </c>
      <c r="I25" s="281">
        <f t="shared" si="7"/>
        <v>0.65024146080115075</v>
      </c>
      <c r="J25" s="281">
        <f t="shared" si="7"/>
        <v>0.65595785088525393</v>
      </c>
      <c r="K25" s="281">
        <f t="shared" si="7"/>
        <v>0.66237100009353467</v>
      </c>
      <c r="L25" s="281">
        <f t="shared" si="7"/>
        <v>0.65608168916270992</v>
      </c>
      <c r="M25" s="281">
        <f t="shared" si="7"/>
        <v>0.63087359726880565</v>
      </c>
      <c r="N25" s="281">
        <f t="shared" si="7"/>
        <v>0.64267926817049992</v>
      </c>
      <c r="O25" s="281">
        <f t="shared" si="7"/>
        <v>0.65056103076553284</v>
      </c>
      <c r="P25" s="281">
        <f t="shared" si="7"/>
        <v>0.65572546807366705</v>
      </c>
      <c r="Q25" s="281">
        <f t="shared" si="7"/>
        <v>0.65863983714601226</v>
      </c>
      <c r="R25" s="281">
        <f t="shared" si="7"/>
        <v>0.66010793528277123</v>
      </c>
      <c r="S25" s="281">
        <f t="shared" si="7"/>
        <v>0.66025599607891017</v>
      </c>
      <c r="T25" s="281">
        <f t="shared" si="7"/>
        <v>0.65978929682895637</v>
      </c>
      <c r="U25" s="281">
        <f t="shared" si="7"/>
        <v>0.65885619098972958</v>
      </c>
      <c r="W25" s="281">
        <f>IF(W7=0,0,W13/W7)</f>
        <v>0.62418293140838488</v>
      </c>
      <c r="X25" s="281">
        <f>IF(X7=0,0,X13/X7)</f>
        <v>0.60381683631412719</v>
      </c>
      <c r="Y25" s="281">
        <f>IF(Y7=0,0,Y13/Y7)</f>
        <v>0.65015487418786178</v>
      </c>
      <c r="Z25" s="281">
        <f>IF(Z7=0,0,Z13/Z7)</f>
        <v>0.65262612131982445</v>
      </c>
      <c r="AA25" s="281">
        <f>IF(AA7=0,0,AA13/AA7)</f>
        <v>0.6597313113433092</v>
      </c>
    </row>
    <row r="26" spans="1:29" ht="15" customHeight="1" x14ac:dyDescent="0.15">
      <c r="A26" s="58" t="s">
        <v>951</v>
      </c>
      <c r="B26" s="281">
        <f t="shared" ref="B26:U26" si="8">IF(B7=0,0,B22/B7)</f>
        <v>0.57137920442328372</v>
      </c>
      <c r="C26" s="281">
        <f t="shared" si="8"/>
        <v>0.55256324900133158</v>
      </c>
      <c r="D26" s="281">
        <f t="shared" si="8"/>
        <v>0.55039621458297705</v>
      </c>
      <c r="E26" s="281">
        <f t="shared" si="8"/>
        <v>0.56166891256260965</v>
      </c>
      <c r="F26" s="281">
        <f t="shared" si="8"/>
        <v>0.42610412600426673</v>
      </c>
      <c r="G26" s="281">
        <f t="shared" si="8"/>
        <v>0.56526110861519374</v>
      </c>
      <c r="H26" s="281">
        <f t="shared" si="8"/>
        <v>0.55976563870469775</v>
      </c>
      <c r="I26" s="281">
        <f t="shared" si="8"/>
        <v>0.63058699194152101</v>
      </c>
      <c r="J26" s="281">
        <f t="shared" si="8"/>
        <v>0.71458677939104331</v>
      </c>
      <c r="K26" s="281">
        <f t="shared" si="8"/>
        <v>0.62032196713815069</v>
      </c>
      <c r="L26" s="281">
        <f t="shared" si="8"/>
        <v>0.53916282914061653</v>
      </c>
      <c r="M26" s="281">
        <f t="shared" si="8"/>
        <v>0.52599940255092859</v>
      </c>
      <c r="N26" s="281">
        <f t="shared" si="8"/>
        <v>0.53660433776185534</v>
      </c>
      <c r="O26" s="281">
        <f t="shared" si="8"/>
        <v>0.54397772316517823</v>
      </c>
      <c r="P26" s="281">
        <f t="shared" si="8"/>
        <v>0.54875249188518449</v>
      </c>
      <c r="Q26" s="281">
        <f t="shared" si="8"/>
        <v>0.55236555814046073</v>
      </c>
      <c r="R26" s="281">
        <f t="shared" si="8"/>
        <v>0.5548336803674353</v>
      </c>
      <c r="S26" s="281">
        <f t="shared" si="8"/>
        <v>0.55654685586776886</v>
      </c>
      <c r="T26" s="281">
        <f t="shared" si="8"/>
        <v>0.55778810763212205</v>
      </c>
      <c r="U26" s="281">
        <f t="shared" si="8"/>
        <v>0.55871602610856486</v>
      </c>
      <c r="W26" s="281">
        <f>IF(W7=0,0,W22/W7)</f>
        <v>0.55848027157712443</v>
      </c>
      <c r="X26" s="281">
        <f>IF(X7=0,0,X22/X7)</f>
        <v>0.55602534060702613</v>
      </c>
      <c r="Y26" s="281">
        <f>IF(Y7=0,0,Y22/Y7)</f>
        <v>0.58970976946224163</v>
      </c>
      <c r="Z26" s="281">
        <f>IF(Z7=0,0,Z22/Z7)</f>
        <v>0.54613437112181662</v>
      </c>
      <c r="AA26" s="281">
        <f>IF(AA7=0,0,AA22/AA7)</f>
        <v>0.55703965919563947</v>
      </c>
    </row>
    <row r="27" spans="1:29" ht="15" customHeight="1" x14ac:dyDescent="0.15">
      <c r="A27" s="58" t="s">
        <v>952</v>
      </c>
      <c r="B27" s="281">
        <f t="shared" ref="B27:U27" si="9">IF(B20=0,0,-B21/B20)</f>
        <v>0.13878117946640431</v>
      </c>
      <c r="C27" s="281">
        <f t="shared" si="9"/>
        <v>0.1360986780472572</v>
      </c>
      <c r="D27" s="281">
        <f t="shared" si="9"/>
        <v>0.13474637031726117</v>
      </c>
      <c r="E27" s="281">
        <f t="shared" si="9"/>
        <v>0.1239639925447119</v>
      </c>
      <c r="F27" s="281">
        <f t="shared" si="9"/>
        <v>0.1430853491556367</v>
      </c>
      <c r="G27" s="281">
        <f t="shared" si="9"/>
        <v>0.15330385182336731</v>
      </c>
      <c r="H27" s="281">
        <f t="shared" si="9"/>
        <v>0.15884647827920709</v>
      </c>
      <c r="I27" s="281">
        <f t="shared" si="9"/>
        <v>0.1475852216357792</v>
      </c>
      <c r="J27" s="281">
        <f t="shared" si="9"/>
        <v>0.16568673733602277</v>
      </c>
      <c r="K27" s="281">
        <f t="shared" si="9"/>
        <v>0.16528451759967555</v>
      </c>
      <c r="L27" s="281">
        <f t="shared" si="9"/>
        <v>0.18</v>
      </c>
      <c r="M27" s="281">
        <f t="shared" si="9"/>
        <v>0.17</v>
      </c>
      <c r="N27" s="281">
        <f t="shared" si="9"/>
        <v>0.17</v>
      </c>
      <c r="O27" s="281">
        <f t="shared" si="9"/>
        <v>0.17</v>
      </c>
      <c r="P27" s="281">
        <f t="shared" si="9"/>
        <v>0.17</v>
      </c>
      <c r="Q27" s="281">
        <f t="shared" si="9"/>
        <v>0.17</v>
      </c>
      <c r="R27" s="281">
        <f t="shared" si="9"/>
        <v>0.17</v>
      </c>
      <c r="S27" s="281">
        <f t="shared" si="9"/>
        <v>0.17</v>
      </c>
      <c r="T27" s="281">
        <f t="shared" si="9"/>
        <v>0.17</v>
      </c>
      <c r="U27" s="281">
        <f t="shared" si="9"/>
        <v>0.17</v>
      </c>
      <c r="W27" s="281">
        <f>IF(W20=0,0,-W21/W20)</f>
        <v>0.13264941803727417</v>
      </c>
      <c r="X27" s="281">
        <f>IF(X20=0,0,-X21/X20)</f>
        <v>0.15117002474372571</v>
      </c>
      <c r="Y27" s="281">
        <f>IF(Y20=0,0,-Y21/Y20)</f>
        <v>0.17028416167745625</v>
      </c>
      <c r="Z27" s="281">
        <f>IF(Z20=0,0,-Z21/Z20)</f>
        <v>0.16999999999999998</v>
      </c>
      <c r="AA27" s="281">
        <f>IF(AA20=0,0,-AA21/AA20)</f>
        <v>0.17</v>
      </c>
    </row>
    <row r="29" spans="1:29" ht="15" customHeight="1" x14ac:dyDescent="0.15">
      <c r="A29" s="59" t="s">
        <v>953</v>
      </c>
      <c r="B29" s="114"/>
      <c r="C29" s="114"/>
      <c r="D29" s="114"/>
      <c r="E29" s="114"/>
      <c r="F29" s="114"/>
      <c r="G29" s="114"/>
      <c r="H29" s="114"/>
      <c r="I29" s="114"/>
      <c r="J29" s="114"/>
      <c r="K29" s="114"/>
      <c r="L29" s="114"/>
      <c r="M29" s="114"/>
      <c r="N29" s="114"/>
      <c r="O29" s="114"/>
      <c r="P29" s="114"/>
      <c r="Q29" s="114"/>
      <c r="R29" s="114"/>
      <c r="S29" s="114"/>
      <c r="T29" s="114"/>
      <c r="U29" s="114"/>
      <c r="V29" s="211"/>
      <c r="W29" s="114"/>
      <c r="X29" s="114"/>
      <c r="Y29" s="114"/>
      <c r="Z29" s="114"/>
      <c r="AA29" s="114"/>
      <c r="AB29" s="114"/>
      <c r="AC29" s="114"/>
    </row>
    <row r="30" spans="1:29" ht="15" customHeight="1" x14ac:dyDescent="0.15">
      <c r="A30" s="57" t="s">
        <v>954</v>
      </c>
      <c r="B30" s="247">
        <f>Raw_Data!B21</f>
        <v>24620</v>
      </c>
      <c r="C30" s="247">
        <f>Raw_Data!C21</f>
        <v>24578</v>
      </c>
      <c r="D30" s="247">
        <f>Raw_Data!D21</f>
        <v>24533</v>
      </c>
      <c r="E30" s="247">
        <f>Raw_Data!E21</f>
        <v>24489</v>
      </c>
      <c r="F30" s="247">
        <f>Raw_Data!F21</f>
        <v>24441</v>
      </c>
      <c r="G30" s="247">
        <f>Raw_Data!G21</f>
        <v>24366</v>
      </c>
      <c r="H30" s="247">
        <f>Raw_Data!H21</f>
        <v>24327</v>
      </c>
      <c r="I30" s="247">
        <f>Raw_Data!I21</f>
        <v>24304</v>
      </c>
      <c r="J30" s="247">
        <f>Raw_Data!J21</f>
        <v>24286</v>
      </c>
      <c r="K30" s="247">
        <f>Raw_Data!K21</f>
        <v>24190</v>
      </c>
      <c r="L30" s="248">
        <f>Assumptions!M41</f>
        <v>24108.463296480779</v>
      </c>
      <c r="M30" s="248">
        <f>Assumptions!N41</f>
        <v>24018.416223276723</v>
      </c>
      <c r="N30" s="248">
        <f>Assumptions!O41</f>
        <v>23916.337723003126</v>
      </c>
      <c r="O30" s="248">
        <f>Assumptions!P41</f>
        <v>23788.995370144319</v>
      </c>
      <c r="P30" s="248">
        <f>Assumptions!Q41</f>
        <v>23642.135804855225</v>
      </c>
      <c r="Q30" s="248">
        <f>Assumptions!R41</f>
        <v>23479.29129534576</v>
      </c>
      <c r="R30" s="248">
        <f>Assumptions!S41</f>
        <v>23298.884835982684</v>
      </c>
      <c r="S30" s="248">
        <f>Assumptions!T41</f>
        <v>23113.096105727684</v>
      </c>
      <c r="T30" s="248">
        <f>Assumptions!U41</f>
        <v>22921.055199415536</v>
      </c>
      <c r="U30" s="248">
        <f>Assumptions!V41</f>
        <v>22725.230811674985</v>
      </c>
      <c r="W30" s="248">
        <f>SUM(B30:E30)/4</f>
        <v>24555</v>
      </c>
      <c r="X30" s="248">
        <f>SUM(F30:I30)/4</f>
        <v>24359.5</v>
      </c>
      <c r="Y30" s="248">
        <f>SUM(J30:M30)/4</f>
        <v>24150.719879939377</v>
      </c>
      <c r="Z30" s="248">
        <f>SUM(N30:Q30)/4</f>
        <v>23706.690048337106</v>
      </c>
      <c r="AA30" s="248">
        <f>SUM(R30:U30)/4</f>
        <v>23014.566738200221</v>
      </c>
      <c r="AB30" s="58" t="s">
        <v>955</v>
      </c>
    </row>
    <row r="31" spans="1:29" ht="15" customHeight="1" x14ac:dyDescent="0.15">
      <c r="A31" s="57" t="s">
        <v>956</v>
      </c>
      <c r="B31" s="247">
        <f>Raw_Data!B22</f>
        <v>24890</v>
      </c>
      <c r="C31" s="247">
        <f>Raw_Data!C22</f>
        <v>24848</v>
      </c>
      <c r="D31" s="247">
        <f>Raw_Data!D22</f>
        <v>24774</v>
      </c>
      <c r="E31" s="247">
        <f>Raw_Data!E22</f>
        <v>24706</v>
      </c>
      <c r="F31" s="247">
        <f>Raw_Data!F22</f>
        <v>24611</v>
      </c>
      <c r="G31" s="247">
        <f>Raw_Data!G22</f>
        <v>24532</v>
      </c>
      <c r="H31" s="247">
        <f>Raw_Data!H22</f>
        <v>24483</v>
      </c>
      <c r="I31" s="247">
        <f>Raw_Data!I22</f>
        <v>24432</v>
      </c>
      <c r="J31" s="247">
        <f>Raw_Data!J22</f>
        <v>24391</v>
      </c>
      <c r="K31" s="247">
        <f>Raw_Data!K22</f>
        <v>24285</v>
      </c>
      <c r="L31" s="248">
        <f>Assumptions!M42</f>
        <v>24203.463296480779</v>
      </c>
      <c r="M31" s="248">
        <f>Assumptions!N42</f>
        <v>24113.416223276723</v>
      </c>
      <c r="N31" s="248">
        <f>Assumptions!O42</f>
        <v>24011.337723003126</v>
      </c>
      <c r="O31" s="248">
        <f>Assumptions!P42</f>
        <v>23883.995370144319</v>
      </c>
      <c r="P31" s="248">
        <f>Assumptions!Q42</f>
        <v>23737.135804855225</v>
      </c>
      <c r="Q31" s="248">
        <f>Assumptions!R42</f>
        <v>23574.29129534576</v>
      </c>
      <c r="R31" s="248">
        <f>Assumptions!S42</f>
        <v>23393.884835982684</v>
      </c>
      <c r="S31" s="248">
        <f>Assumptions!T42</f>
        <v>23208.096105727684</v>
      </c>
      <c r="T31" s="248">
        <f>Assumptions!U42</f>
        <v>23016.055199415536</v>
      </c>
      <c r="U31" s="248">
        <f>Assumptions!V42</f>
        <v>22820.230811674985</v>
      </c>
      <c r="W31" s="248">
        <f>SUM(B31:E31)/4</f>
        <v>24804.5</v>
      </c>
      <c r="X31" s="248">
        <f>SUM(F31:I31)/4</f>
        <v>24514.5</v>
      </c>
      <c r="Y31" s="248">
        <f>SUM(J31:M31)/4</f>
        <v>24248.219879939377</v>
      </c>
      <c r="Z31" s="248">
        <f>SUM(N31:Q31)/4</f>
        <v>23801.690048337106</v>
      </c>
      <c r="AA31" s="248">
        <f>SUM(R31:U31)/4</f>
        <v>23109.566738200221</v>
      </c>
    </row>
    <row r="32" spans="1:29" ht="15" customHeight="1" x14ac:dyDescent="0.15">
      <c r="A32" s="57" t="s">
        <v>957</v>
      </c>
      <c r="B32" s="93">
        <f t="shared" ref="B32:U32" si="10">IF(B30=0,0,B22/B30)</f>
        <v>0.60442729488220959</v>
      </c>
      <c r="C32" s="93">
        <f t="shared" si="10"/>
        <v>0.67536007811864274</v>
      </c>
      <c r="D32" s="93">
        <f t="shared" si="10"/>
        <v>0.78706232421636169</v>
      </c>
      <c r="E32" s="93">
        <f t="shared" si="10"/>
        <v>0.90207848421740378</v>
      </c>
      <c r="F32" s="93">
        <f t="shared" si="10"/>
        <v>0.76817642485986659</v>
      </c>
      <c r="G32" s="93">
        <f t="shared" si="10"/>
        <v>1.0843798735943528</v>
      </c>
      <c r="H32" s="93">
        <f t="shared" si="10"/>
        <v>1.3117112673161508</v>
      </c>
      <c r="I32" s="93">
        <f t="shared" si="10"/>
        <v>1.7676102699144174</v>
      </c>
      <c r="J32" s="93">
        <f t="shared" si="10"/>
        <v>2.4014246891213045</v>
      </c>
      <c r="K32" s="93">
        <f t="shared" si="10"/>
        <v>2.4674658949979329</v>
      </c>
      <c r="L32" s="93">
        <f t="shared" si="10"/>
        <v>2.451780059423128</v>
      </c>
      <c r="M32" s="93">
        <f t="shared" si="10"/>
        <v>2.6110157919967336</v>
      </c>
      <c r="N32" s="93">
        <f t="shared" si="10"/>
        <v>3.2238706214821158</v>
      </c>
      <c r="O32" s="93">
        <f t="shared" si="10"/>
        <v>3.7644778090733468</v>
      </c>
      <c r="P32" s="93">
        <f t="shared" si="10"/>
        <v>4.2562880466268709</v>
      </c>
      <c r="Q32" s="93">
        <f t="shared" si="10"/>
        <v>4.6977629168170338</v>
      </c>
      <c r="R32" s="93">
        <f t="shared" si="10"/>
        <v>5.1227915496179754</v>
      </c>
      <c r="S32" s="93">
        <f t="shared" si="10"/>
        <v>5.4607827634490302</v>
      </c>
      <c r="T32" s="93">
        <f t="shared" si="10"/>
        <v>5.752341769099405</v>
      </c>
      <c r="U32" s="93">
        <f t="shared" si="10"/>
        <v>6.0041404559720171</v>
      </c>
      <c r="W32" s="93">
        <f>IF(W30=0,0,W22/W30)</f>
        <v>2.9680309509264915</v>
      </c>
      <c r="X32" s="93">
        <f>IF(X30=0,0,X22/X30)</f>
        <v>4.9289599540220452</v>
      </c>
      <c r="Y32" s="93">
        <f>IF(Y30=0,0,Y22/Y30)</f>
        <v>9.9305575495737166</v>
      </c>
      <c r="Z32" s="93">
        <f>IF(Z30=0,0,Z22/Z30)</f>
        <v>15.927327136060114</v>
      </c>
      <c r="AA32" s="93">
        <f>IF(AA30=0,0,AA22/AA30)</f>
        <v>22.327865387427625</v>
      </c>
      <c r="AB32" s="58" t="s">
        <v>958</v>
      </c>
    </row>
    <row r="33" spans="1:29" ht="15" customHeight="1" x14ac:dyDescent="0.15">
      <c r="A33" s="57" t="s">
        <v>959</v>
      </c>
      <c r="B33" s="93">
        <f t="shared" ref="B33:U33" si="11">IF(B31=0,0,B22/B31)</f>
        <v>0.5978706307754118</v>
      </c>
      <c r="C33" s="93">
        <f t="shared" si="11"/>
        <v>0.66802157115260785</v>
      </c>
      <c r="D33" s="93">
        <f t="shared" si="11"/>
        <v>0.77940582869136998</v>
      </c>
      <c r="E33" s="93">
        <f t="shared" si="11"/>
        <v>0.8941552659273051</v>
      </c>
      <c r="F33" s="93">
        <f t="shared" si="11"/>
        <v>0.7628702612652879</v>
      </c>
      <c r="G33" s="93">
        <f t="shared" si="11"/>
        <v>1.0770422305560086</v>
      </c>
      <c r="H33" s="93">
        <f t="shared" si="11"/>
        <v>1.3033533472205203</v>
      </c>
      <c r="I33" s="93">
        <f t="shared" si="11"/>
        <v>1.7583497053045187</v>
      </c>
      <c r="J33" s="93">
        <f t="shared" si="11"/>
        <v>2.3910868763068347</v>
      </c>
      <c r="K33" s="93">
        <f t="shared" si="11"/>
        <v>2.4578134651019146</v>
      </c>
      <c r="L33" s="93">
        <f t="shared" si="11"/>
        <v>2.4421566802070194</v>
      </c>
      <c r="M33" s="93">
        <f t="shared" si="11"/>
        <v>2.6007291325726638</v>
      </c>
      <c r="N33" s="93">
        <f t="shared" si="11"/>
        <v>3.2111154925270391</v>
      </c>
      <c r="O33" s="93">
        <f t="shared" si="11"/>
        <v>3.7495043766002771</v>
      </c>
      <c r="P33" s="93">
        <f t="shared" si="11"/>
        <v>4.2392536677635686</v>
      </c>
      <c r="Q33" s="93">
        <f t="shared" si="11"/>
        <v>4.678831807859976</v>
      </c>
      <c r="R33" s="93">
        <f t="shared" si="11"/>
        <v>5.1019884551073469</v>
      </c>
      <c r="S33" s="93">
        <f t="shared" si="11"/>
        <v>5.4384296001320438</v>
      </c>
      <c r="T33" s="93">
        <f t="shared" si="11"/>
        <v>5.728598670495856</v>
      </c>
      <c r="U33" s="93">
        <f t="shared" si="11"/>
        <v>5.9791453826081877</v>
      </c>
      <c r="W33" s="93">
        <f>IF(W31=0,0,W22/W31)</f>
        <v>2.9381765405470781</v>
      </c>
      <c r="X33" s="93">
        <f>IF(X31=0,0,X22/X31)</f>
        <v>4.8977951824430441</v>
      </c>
      <c r="Y33" s="93">
        <f>IF(Y31=0,0,Y22/Y31)</f>
        <v>9.8906276344757238</v>
      </c>
      <c r="Z33" s="93">
        <f>IF(Z31=0,0,Z22/Z31)</f>
        <v>15.863756184801911</v>
      </c>
      <c r="AA33" s="93">
        <f>IF(AA31=0,0,AA22/AA31)</f>
        <v>22.236078845696429</v>
      </c>
    </row>
    <row r="34" spans="1:29" ht="15" customHeight="1" x14ac:dyDescent="0.15">
      <c r="A34" s="58" t="s">
        <v>960</v>
      </c>
      <c r="B34" s="281">
        <f t="shared" ref="B34:U34" si="12">IF(B$7=0,0,-B10/B$7)</f>
        <v>0.10443864229765012</v>
      </c>
      <c r="C34" s="281">
        <f t="shared" si="12"/>
        <v>0.10286284953395473</v>
      </c>
      <c r="D34" s="281">
        <f t="shared" si="12"/>
        <v>9.6630750812382413E-2</v>
      </c>
      <c r="E34" s="281">
        <f t="shared" si="12"/>
        <v>9.4429330553507412E-2</v>
      </c>
      <c r="F34" s="281">
        <f t="shared" si="12"/>
        <v>9.0531523761971766E-2</v>
      </c>
      <c r="G34" s="281">
        <f t="shared" si="12"/>
        <v>9.1799841687525405E-2</v>
      </c>
      <c r="H34" s="281">
        <f t="shared" si="12"/>
        <v>8.2535171736308463E-2</v>
      </c>
      <c r="I34" s="281">
        <f t="shared" si="12"/>
        <v>8.0907716470709115E-2</v>
      </c>
      <c r="J34" s="281">
        <f t="shared" si="12"/>
        <v>7.7448998345892306E-2</v>
      </c>
      <c r="K34" s="281">
        <f t="shared" si="12"/>
        <v>7.3310400016628391E-2</v>
      </c>
      <c r="L34" s="281">
        <f t="shared" si="12"/>
        <v>7.160421087747032E-2</v>
      </c>
      <c r="M34" s="281">
        <f t="shared" si="12"/>
        <v>7.2132309420565435E-2</v>
      </c>
      <c r="N34" s="281">
        <f t="shared" si="12"/>
        <v>6.6811793480035991E-2</v>
      </c>
      <c r="O34" s="281">
        <f t="shared" si="12"/>
        <v>6.3780742511323721E-2</v>
      </c>
      <c r="P34" s="281">
        <f t="shared" si="12"/>
        <v>6.216753358532473E-2</v>
      </c>
      <c r="Q34" s="281">
        <f t="shared" si="12"/>
        <v>6.1596441502067625E-2</v>
      </c>
      <c r="R34" s="281">
        <f t="shared" si="12"/>
        <v>6.0431635716867396E-2</v>
      </c>
      <c r="S34" s="281">
        <f t="shared" si="12"/>
        <v>6.0410061175043564E-2</v>
      </c>
      <c r="T34" s="281">
        <f t="shared" si="12"/>
        <v>6.0918956336370872E-2</v>
      </c>
      <c r="U34" s="281">
        <f t="shared" si="12"/>
        <v>6.1831378637191119E-2</v>
      </c>
      <c r="W34" s="281">
        <f t="shared" ref="W34:AA35" si="13">IF(W$7=0,0,-W10/W$7)</f>
        <v>9.8960129351632606E-2</v>
      </c>
      <c r="X34" s="281">
        <f t="shared" si="13"/>
        <v>8.5658846520760584E-2</v>
      </c>
      <c r="Y34" s="281">
        <f t="shared" si="13"/>
        <v>7.3335635829472709E-2</v>
      </c>
      <c r="Z34" s="281">
        <f t="shared" si="13"/>
        <v>6.3351922475832642E-2</v>
      </c>
      <c r="AA34" s="281">
        <f t="shared" si="13"/>
        <v>6.0921757472707672E-2</v>
      </c>
      <c r="AB34" s="58" t="s">
        <v>961</v>
      </c>
    </row>
    <row r="35" spans="1:29" ht="15" customHeight="1" x14ac:dyDescent="0.15">
      <c r="A35" s="58" t="s">
        <v>962</v>
      </c>
      <c r="B35" s="281">
        <f t="shared" ref="B35:U35" si="14">IF(B$7=0,0,-B11/B$7)</f>
        <v>2.9834126862233145E-2</v>
      </c>
      <c r="C35" s="281">
        <f t="shared" si="14"/>
        <v>2.8029294274300932E-2</v>
      </c>
      <c r="D35" s="281">
        <f t="shared" si="14"/>
        <v>2.5568667692833932E-2</v>
      </c>
      <c r="E35" s="281">
        <f t="shared" si="14"/>
        <v>2.478960616307747E-2</v>
      </c>
      <c r="F35" s="281">
        <f t="shared" si="14"/>
        <v>2.3625800009078116E-2</v>
      </c>
      <c r="G35" s="281">
        <f t="shared" si="14"/>
        <v>2.4003594121044861E-2</v>
      </c>
      <c r="H35" s="281">
        <f t="shared" si="14"/>
        <v>1.9892642879696873E-2</v>
      </c>
      <c r="I35" s="281">
        <f t="shared" si="14"/>
        <v>1.88177961747912E-2</v>
      </c>
      <c r="J35" s="281">
        <f t="shared" si="14"/>
        <v>1.5928444526128776E-2</v>
      </c>
      <c r="K35" s="281">
        <f t="shared" si="14"/>
        <v>1.4071772274243667E-2</v>
      </c>
      <c r="L35" s="281">
        <f t="shared" si="14"/>
        <v>1.2314099959819736E-2</v>
      </c>
      <c r="M35" s="281">
        <f t="shared" si="14"/>
        <v>1.1994093310628904E-2</v>
      </c>
      <c r="N35" s="281">
        <f t="shared" si="14"/>
        <v>1.0508938349463995E-2</v>
      </c>
      <c r="O35" s="281">
        <f t="shared" si="14"/>
        <v>9.6582267231433063E-3</v>
      </c>
      <c r="P35" s="281">
        <f t="shared" si="14"/>
        <v>9.1069983410080966E-3</v>
      </c>
      <c r="Q35" s="281">
        <f t="shared" si="14"/>
        <v>8.7637213519201913E-3</v>
      </c>
      <c r="R35" s="281">
        <f t="shared" si="14"/>
        <v>8.4604290003614351E-3</v>
      </c>
      <c r="S35" s="281">
        <f t="shared" si="14"/>
        <v>8.3339427460461558E-3</v>
      </c>
      <c r="T35" s="281">
        <f t="shared" si="14"/>
        <v>8.2917468346727016E-3</v>
      </c>
      <c r="U35" s="281">
        <f t="shared" si="14"/>
        <v>8.3124303730793356E-3</v>
      </c>
      <c r="W35" s="281">
        <f t="shared" si="13"/>
        <v>2.6751572833091947E-2</v>
      </c>
      <c r="X35" s="281">
        <f t="shared" si="13"/>
        <v>2.1205160740582946E-2</v>
      </c>
      <c r="Y35" s="281">
        <f t="shared" si="13"/>
        <v>1.3361470078704266E-2</v>
      </c>
      <c r="Z35" s="281">
        <f t="shared" si="13"/>
        <v>9.4304688251696071E-3</v>
      </c>
      <c r="AA35" s="281">
        <f t="shared" si="13"/>
        <v>8.3469311839830789E-3</v>
      </c>
    </row>
    <row r="37" spans="1:29" ht="15" customHeight="1" x14ac:dyDescent="0.15">
      <c r="A37" s="59" t="s">
        <v>963</v>
      </c>
      <c r="B37" s="114"/>
      <c r="C37" s="114"/>
      <c r="D37" s="114"/>
      <c r="E37" s="114"/>
      <c r="F37" s="114"/>
      <c r="G37" s="114"/>
      <c r="H37" s="114"/>
      <c r="I37" s="114"/>
      <c r="J37" s="114"/>
      <c r="K37" s="114"/>
      <c r="L37" s="114"/>
      <c r="M37" s="114"/>
      <c r="N37" s="114"/>
      <c r="O37" s="114"/>
      <c r="P37" s="114"/>
      <c r="Q37" s="114"/>
      <c r="R37" s="114"/>
      <c r="S37" s="114"/>
      <c r="T37" s="114"/>
      <c r="U37" s="114"/>
      <c r="V37" s="211"/>
      <c r="W37" s="114"/>
      <c r="X37" s="114"/>
      <c r="Y37" s="114"/>
      <c r="Z37" s="114"/>
      <c r="AA37" s="114"/>
      <c r="AB37" s="114"/>
      <c r="AC37" s="114"/>
    </row>
    <row r="38" spans="1:29" ht="15" customHeight="1" x14ac:dyDescent="0.15">
      <c r="A38" s="58" t="s">
        <v>964</v>
      </c>
    </row>
    <row r="39" spans="1:29" ht="15" customHeight="1" x14ac:dyDescent="0.15">
      <c r="A39" s="59" t="s">
        <v>965</v>
      </c>
      <c r="B39" s="114"/>
      <c r="C39" s="114"/>
      <c r="D39" s="114"/>
      <c r="E39" s="114"/>
      <c r="F39" s="114"/>
      <c r="G39" s="114"/>
      <c r="H39" s="114"/>
      <c r="I39" s="114"/>
      <c r="J39" s="114"/>
      <c r="K39" s="114"/>
      <c r="L39" s="114"/>
      <c r="M39" s="114"/>
      <c r="N39" s="114"/>
      <c r="O39" s="114"/>
      <c r="P39" s="114"/>
      <c r="Q39" s="114"/>
      <c r="R39" s="114"/>
      <c r="S39" s="114"/>
      <c r="T39" s="114"/>
      <c r="U39" s="114"/>
      <c r="V39" s="211"/>
      <c r="W39" s="114"/>
      <c r="X39" s="114"/>
      <c r="Y39" s="114"/>
      <c r="Z39" s="114"/>
      <c r="AA39" s="114"/>
      <c r="AB39" s="114"/>
      <c r="AC39" s="114"/>
    </row>
    <row r="40" spans="1:29" ht="15" customHeight="1" x14ac:dyDescent="0.15">
      <c r="A40" s="57" t="s">
        <v>966</v>
      </c>
      <c r="B40" s="284"/>
      <c r="C40" s="284"/>
      <c r="D40" s="284"/>
      <c r="E40" s="284"/>
      <c r="F40" s="245">
        <f>Raw_Data!F112</f>
        <v>126</v>
      </c>
      <c r="G40" s="245">
        <f>Raw_Data!G112</f>
        <v>49</v>
      </c>
      <c r="H40" s="284"/>
      <c r="I40" s="245">
        <f>Raw_Data!I112</f>
        <v>47</v>
      </c>
      <c r="J40" s="245">
        <f>Raw_Data!J112</f>
        <v>75</v>
      </c>
      <c r="K40" s="245">
        <f>Raw_Data!K112</f>
        <v>46</v>
      </c>
      <c r="L40" s="77">
        <f>Assumptions!M67</f>
        <v>0</v>
      </c>
      <c r="M40" s="77">
        <f>Assumptions!N67</f>
        <v>0</v>
      </c>
      <c r="N40" s="77">
        <f>Assumptions!O67</f>
        <v>0</v>
      </c>
      <c r="O40" s="77">
        <f>Assumptions!P67</f>
        <v>0</v>
      </c>
      <c r="P40" s="77">
        <f>Assumptions!Q67</f>
        <v>0</v>
      </c>
      <c r="Q40" s="77">
        <f>Assumptions!R67</f>
        <v>0</v>
      </c>
      <c r="R40" s="77">
        <f>Assumptions!S67</f>
        <v>0</v>
      </c>
      <c r="S40" s="77">
        <f>Assumptions!T67</f>
        <v>0</v>
      </c>
      <c r="T40" s="77">
        <f>Assumptions!U67</f>
        <v>0</v>
      </c>
      <c r="U40" s="77">
        <f>Assumptions!V67</f>
        <v>0</v>
      </c>
      <c r="W40" s="284"/>
      <c r="X40" s="284"/>
      <c r="Y40" s="77">
        <f t="shared" ref="Y40:Y48" si="15">SUM(J40:M40)</f>
        <v>121</v>
      </c>
      <c r="Z40" s="77">
        <f t="shared" ref="Z40:Z48" si="16">SUM(N40:Q40)</f>
        <v>0</v>
      </c>
      <c r="AA40" s="77">
        <f t="shared" ref="AA40:AA48" si="17">SUM(R40:U40)</f>
        <v>0</v>
      </c>
      <c r="AB40" s="58" t="s">
        <v>967</v>
      </c>
    </row>
    <row r="41" spans="1:29" ht="15" customHeight="1" x14ac:dyDescent="0.15">
      <c r="A41" s="57" t="s">
        <v>968</v>
      </c>
      <c r="B41" s="284"/>
      <c r="C41" s="284"/>
      <c r="D41" s="284"/>
      <c r="E41" s="284"/>
      <c r="F41" s="245">
        <f>Raw_Data!F113</f>
        <v>37</v>
      </c>
      <c r="G41" s="245">
        <f>Raw_Data!G113</f>
        <v>52</v>
      </c>
      <c r="H41" s="284"/>
      <c r="I41" s="245">
        <f>Raw_Data!I113</f>
        <v>128</v>
      </c>
      <c r="J41" s="245">
        <f>Raw_Data!J113</f>
        <v>172</v>
      </c>
      <c r="K41" s="245">
        <f>Raw_Data!K113</f>
        <v>176</v>
      </c>
      <c r="L41" s="77">
        <f>Assumptions!M68</f>
        <v>0</v>
      </c>
      <c r="M41" s="77">
        <f>Assumptions!N68</f>
        <v>0</v>
      </c>
      <c r="N41" s="77">
        <f>Assumptions!O68</f>
        <v>0</v>
      </c>
      <c r="O41" s="77">
        <f>Assumptions!P68</f>
        <v>0</v>
      </c>
      <c r="P41" s="77">
        <f>Assumptions!Q68</f>
        <v>0</v>
      </c>
      <c r="Q41" s="77">
        <f>Assumptions!R68</f>
        <v>0</v>
      </c>
      <c r="R41" s="77">
        <f>Assumptions!S68</f>
        <v>0</v>
      </c>
      <c r="S41" s="77">
        <f>Assumptions!T68</f>
        <v>0</v>
      </c>
      <c r="T41" s="77">
        <f>Assumptions!U68</f>
        <v>0</v>
      </c>
      <c r="U41" s="77">
        <f>Assumptions!V68</f>
        <v>0</v>
      </c>
      <c r="W41" s="284"/>
      <c r="X41" s="284"/>
      <c r="Y41" s="77">
        <f t="shared" si="15"/>
        <v>348</v>
      </c>
      <c r="Z41" s="77">
        <f t="shared" si="16"/>
        <v>0</v>
      </c>
      <c r="AA41" s="77">
        <f t="shared" si="17"/>
        <v>0</v>
      </c>
    </row>
    <row r="42" spans="1:29" ht="15" customHeight="1" x14ac:dyDescent="0.15">
      <c r="A42" s="57" t="s">
        <v>969</v>
      </c>
      <c r="B42" s="284"/>
      <c r="C42" s="284"/>
      <c r="D42" s="284"/>
      <c r="E42" s="284"/>
      <c r="F42" s="245">
        <f>Raw_Data!F114</f>
        <v>175</v>
      </c>
      <c r="G42" s="245">
        <f>Raw_Data!G114</f>
        <v>-2247</v>
      </c>
      <c r="H42" s="284"/>
      <c r="I42" s="245">
        <f>Raw_Data!I114</f>
        <v>-5491</v>
      </c>
      <c r="J42" s="245">
        <f>Raw_Data!J114</f>
        <v>-15936</v>
      </c>
      <c r="K42" s="245">
        <f>Raw_Data!K114</f>
        <v>-7771</v>
      </c>
      <c r="L42" s="77">
        <f>Assumptions!M69</f>
        <v>0</v>
      </c>
      <c r="M42" s="77">
        <f>Assumptions!N69</f>
        <v>0</v>
      </c>
      <c r="N42" s="77">
        <f>Assumptions!O69</f>
        <v>0</v>
      </c>
      <c r="O42" s="77">
        <f>Assumptions!P69</f>
        <v>0</v>
      </c>
      <c r="P42" s="77">
        <f>Assumptions!Q69</f>
        <v>0</v>
      </c>
      <c r="Q42" s="77">
        <f>Assumptions!R69</f>
        <v>0</v>
      </c>
      <c r="R42" s="77">
        <f>Assumptions!S69</f>
        <v>0</v>
      </c>
      <c r="S42" s="77">
        <f>Assumptions!T69</f>
        <v>0</v>
      </c>
      <c r="T42" s="77">
        <f>Assumptions!U69</f>
        <v>0</v>
      </c>
      <c r="U42" s="77">
        <f>Assumptions!V69</f>
        <v>0</v>
      </c>
      <c r="W42" s="284"/>
      <c r="X42" s="284"/>
      <c r="Y42" s="77">
        <f t="shared" si="15"/>
        <v>-23707</v>
      </c>
      <c r="Z42" s="77">
        <f t="shared" si="16"/>
        <v>0</v>
      </c>
      <c r="AA42" s="77">
        <f t="shared" si="17"/>
        <v>0</v>
      </c>
    </row>
    <row r="43" spans="1:29" ht="15" customHeight="1" x14ac:dyDescent="0.15">
      <c r="A43" s="57" t="s">
        <v>970</v>
      </c>
      <c r="B43" s="284"/>
      <c r="C43" s="284"/>
      <c r="D43" s="284"/>
      <c r="E43" s="284"/>
      <c r="F43" s="245">
        <f>Raw_Data!F115</f>
        <v>1</v>
      </c>
      <c r="G43" s="245">
        <f>Raw_Data!G115</f>
        <v>1</v>
      </c>
      <c r="H43" s="284"/>
      <c r="I43" s="245">
        <f>Raw_Data!I115</f>
        <v>13</v>
      </c>
      <c r="J43" s="245">
        <f>Raw_Data!J115</f>
        <v>26</v>
      </c>
      <c r="K43" s="245">
        <f>Raw_Data!K115</f>
        <v>298</v>
      </c>
      <c r="L43" s="77">
        <f>Assumptions!M70</f>
        <v>0</v>
      </c>
      <c r="M43" s="77">
        <f>Assumptions!N70</f>
        <v>0</v>
      </c>
      <c r="N43" s="77">
        <f>Assumptions!O70</f>
        <v>0</v>
      </c>
      <c r="O43" s="77">
        <f>Assumptions!P70</f>
        <v>0</v>
      </c>
      <c r="P43" s="77">
        <f>Assumptions!Q70</f>
        <v>0</v>
      </c>
      <c r="Q43" s="77">
        <f>Assumptions!R70</f>
        <v>0</v>
      </c>
      <c r="R43" s="77">
        <f>Assumptions!S70</f>
        <v>0</v>
      </c>
      <c r="S43" s="77">
        <f>Assumptions!T70</f>
        <v>0</v>
      </c>
      <c r="T43" s="77">
        <f>Assumptions!U70</f>
        <v>0</v>
      </c>
      <c r="U43" s="77">
        <f>Assumptions!V70</f>
        <v>0</v>
      </c>
      <c r="W43" s="284"/>
      <c r="X43" s="284"/>
      <c r="Y43" s="77">
        <f t="shared" si="15"/>
        <v>324</v>
      </c>
      <c r="Z43" s="77">
        <f t="shared" si="16"/>
        <v>0</v>
      </c>
      <c r="AA43" s="77">
        <f t="shared" si="17"/>
        <v>0</v>
      </c>
    </row>
    <row r="44" spans="1:29" ht="15" customHeight="1" x14ac:dyDescent="0.15">
      <c r="A44" s="57" t="s">
        <v>971</v>
      </c>
      <c r="B44" s="284"/>
      <c r="C44" s="284"/>
      <c r="D44" s="284"/>
      <c r="E44" s="284"/>
      <c r="F44" s="245">
        <f>Raw_Data!F118</f>
        <v>-20</v>
      </c>
      <c r="G44" s="245">
        <f>Raw_Data!G118</f>
        <v>486</v>
      </c>
      <c r="H44" s="284"/>
      <c r="I44" s="245">
        <f>Raw_Data!I118</f>
        <v>1312</v>
      </c>
      <c r="J44" s="245">
        <f>Raw_Data!J118</f>
        <v>2890</v>
      </c>
      <c r="K44" s="245">
        <f>Raw_Data!K118</f>
        <v>1517</v>
      </c>
      <c r="L44" s="77">
        <f>Assumptions!M71</f>
        <v>0</v>
      </c>
      <c r="M44" s="77">
        <f>Assumptions!N71</f>
        <v>0</v>
      </c>
      <c r="N44" s="77">
        <f>Assumptions!O71</f>
        <v>0</v>
      </c>
      <c r="O44" s="77">
        <f>Assumptions!P71</f>
        <v>0</v>
      </c>
      <c r="P44" s="77">
        <f>Assumptions!Q71</f>
        <v>0</v>
      </c>
      <c r="Q44" s="77">
        <f>Assumptions!R71</f>
        <v>0</v>
      </c>
      <c r="R44" s="77">
        <f>Assumptions!S71</f>
        <v>0</v>
      </c>
      <c r="S44" s="77">
        <f>Assumptions!T71</f>
        <v>0</v>
      </c>
      <c r="T44" s="77">
        <f>Assumptions!U71</f>
        <v>0</v>
      </c>
      <c r="U44" s="77">
        <f>Assumptions!V71</f>
        <v>0</v>
      </c>
      <c r="W44" s="284"/>
      <c r="X44" s="284"/>
      <c r="Y44" s="77">
        <f t="shared" si="15"/>
        <v>4407</v>
      </c>
      <c r="Z44" s="77">
        <f t="shared" si="16"/>
        <v>0</v>
      </c>
      <c r="AA44" s="77">
        <f t="shared" si="17"/>
        <v>0</v>
      </c>
    </row>
    <row r="45" spans="1:29" ht="15" customHeight="1" x14ac:dyDescent="0.15">
      <c r="A45" s="56" t="s">
        <v>972</v>
      </c>
      <c r="B45" s="285"/>
      <c r="C45" s="285"/>
      <c r="D45" s="285"/>
      <c r="E45" s="285"/>
      <c r="F45" s="260">
        <f>(F9)+F40</f>
        <v>26794</v>
      </c>
      <c r="G45" s="260">
        <f>(G9)+G40</f>
        <v>33902</v>
      </c>
      <c r="H45" s="285"/>
      <c r="I45" s="260">
        <f t="shared" ref="I45:U45" si="18">(I9)+I40</f>
        <v>51140</v>
      </c>
      <c r="J45" s="260">
        <f t="shared" si="18"/>
        <v>61232</v>
      </c>
      <c r="K45" s="260">
        <f t="shared" si="18"/>
        <v>72188</v>
      </c>
      <c r="L45" s="260">
        <f t="shared" si="18"/>
        <v>81126.513773615996</v>
      </c>
      <c r="M45" s="260">
        <f t="shared" si="18"/>
        <v>85246.126865957194</v>
      </c>
      <c r="N45" s="260">
        <f t="shared" si="18"/>
        <v>103454.7890420779</v>
      </c>
      <c r="O45" s="260">
        <f t="shared" si="18"/>
        <v>119189.5813795258</v>
      </c>
      <c r="P45" s="260">
        <f t="shared" si="18"/>
        <v>133313.95862158536</v>
      </c>
      <c r="Q45" s="260">
        <f t="shared" si="18"/>
        <v>145571.72104981117</v>
      </c>
      <c r="R45" s="260">
        <f t="shared" si="18"/>
        <v>156821.83491443744</v>
      </c>
      <c r="S45" s="260">
        <f t="shared" si="18"/>
        <v>165325.10985315678</v>
      </c>
      <c r="T45" s="260">
        <f t="shared" si="18"/>
        <v>172320.74597661063</v>
      </c>
      <c r="U45" s="260">
        <f t="shared" si="18"/>
        <v>178030.96490199928</v>
      </c>
      <c r="W45" s="285"/>
      <c r="X45" s="285"/>
      <c r="Y45" s="260">
        <f t="shared" si="15"/>
        <v>299792.64063957322</v>
      </c>
      <c r="Z45" s="260">
        <f t="shared" si="16"/>
        <v>501530.05009300023</v>
      </c>
      <c r="AA45" s="260">
        <f t="shared" si="17"/>
        <v>672498.65564620413</v>
      </c>
      <c r="AB45" s="58" t="s">
        <v>973</v>
      </c>
    </row>
    <row r="46" spans="1:29" ht="15" customHeight="1" x14ac:dyDescent="0.15">
      <c r="A46" s="57" t="s">
        <v>974</v>
      </c>
      <c r="B46" s="284"/>
      <c r="C46" s="284"/>
      <c r="D46" s="284"/>
      <c r="E46" s="284"/>
      <c r="F46" s="77">
        <f>(F10+F11+F12)+F41</f>
        <v>-4993</v>
      </c>
      <c r="G46" s="77">
        <f>(G10+G11+G12)+G41</f>
        <v>-5361</v>
      </c>
      <c r="H46" s="284"/>
      <c r="I46" s="77">
        <f t="shared" ref="I46:U46" si="19">(I10+I11+I12)+I41</f>
        <v>-6666</v>
      </c>
      <c r="J46" s="77">
        <f t="shared" si="19"/>
        <v>-7449</v>
      </c>
      <c r="K46" s="77">
        <f t="shared" si="19"/>
        <v>-8232</v>
      </c>
      <c r="L46" s="77">
        <f t="shared" si="19"/>
        <v>-9200</v>
      </c>
      <c r="M46" s="77">
        <f t="shared" si="19"/>
        <v>-10030</v>
      </c>
      <c r="N46" s="77">
        <f t="shared" si="19"/>
        <v>-11110</v>
      </c>
      <c r="O46" s="77">
        <f t="shared" si="19"/>
        <v>-12090</v>
      </c>
      <c r="P46" s="77">
        <f t="shared" si="19"/>
        <v>-13070</v>
      </c>
      <c r="Q46" s="77">
        <f t="shared" si="19"/>
        <v>-14050</v>
      </c>
      <c r="R46" s="77">
        <f t="shared" si="19"/>
        <v>-14820</v>
      </c>
      <c r="S46" s="77">
        <f t="shared" si="19"/>
        <v>-15590</v>
      </c>
      <c r="T46" s="77">
        <f t="shared" si="19"/>
        <v>-16360</v>
      </c>
      <c r="U46" s="77">
        <f t="shared" si="19"/>
        <v>-17130</v>
      </c>
      <c r="W46" s="284"/>
      <c r="X46" s="284"/>
      <c r="Y46" s="77">
        <f t="shared" si="15"/>
        <v>-34911</v>
      </c>
      <c r="Z46" s="77">
        <f t="shared" si="16"/>
        <v>-50320</v>
      </c>
      <c r="AA46" s="77">
        <f t="shared" si="17"/>
        <v>-63900</v>
      </c>
      <c r="AB46" s="58" t="s">
        <v>975</v>
      </c>
    </row>
    <row r="47" spans="1:29" ht="15" customHeight="1" x14ac:dyDescent="0.15">
      <c r="A47" s="56" t="s">
        <v>976</v>
      </c>
      <c r="B47" s="285"/>
      <c r="C47" s="285"/>
      <c r="D47" s="285"/>
      <c r="E47" s="285"/>
      <c r="F47" s="260">
        <f>F45+F46</f>
        <v>21801</v>
      </c>
      <c r="G47" s="260">
        <f>G45+G46</f>
        <v>28541</v>
      </c>
      <c r="H47" s="285"/>
      <c r="I47" s="260">
        <f t="shared" ref="I47:U47" si="20">I45+I46</f>
        <v>44474</v>
      </c>
      <c r="J47" s="260">
        <f t="shared" si="20"/>
        <v>53783</v>
      </c>
      <c r="K47" s="260">
        <f t="shared" si="20"/>
        <v>63956</v>
      </c>
      <c r="L47" s="260">
        <f t="shared" si="20"/>
        <v>71926.513773615996</v>
      </c>
      <c r="M47" s="260">
        <f t="shared" si="20"/>
        <v>75216.126865957194</v>
      </c>
      <c r="N47" s="260">
        <f t="shared" si="20"/>
        <v>92344.7890420779</v>
      </c>
      <c r="O47" s="260">
        <f t="shared" si="20"/>
        <v>107099.5813795258</v>
      </c>
      <c r="P47" s="260">
        <f t="shared" si="20"/>
        <v>120243.95862158536</v>
      </c>
      <c r="Q47" s="260">
        <f t="shared" si="20"/>
        <v>131521.72104981117</v>
      </c>
      <c r="R47" s="260">
        <f t="shared" si="20"/>
        <v>142001.83491443744</v>
      </c>
      <c r="S47" s="260">
        <f t="shared" si="20"/>
        <v>149735.10985315678</v>
      </c>
      <c r="T47" s="260">
        <f t="shared" si="20"/>
        <v>155960.74597661063</v>
      </c>
      <c r="U47" s="260">
        <f t="shared" si="20"/>
        <v>160900.96490199928</v>
      </c>
      <c r="W47" s="285"/>
      <c r="X47" s="285"/>
      <c r="Y47" s="260">
        <f t="shared" si="15"/>
        <v>264881.64063957322</v>
      </c>
      <c r="Z47" s="260">
        <f t="shared" si="16"/>
        <v>451210.05009300023</v>
      </c>
      <c r="AA47" s="260">
        <f t="shared" si="17"/>
        <v>608598.65564620413</v>
      </c>
    </row>
    <row r="48" spans="1:29" ht="15" customHeight="1" x14ac:dyDescent="0.15">
      <c r="A48" s="56" t="s">
        <v>977</v>
      </c>
      <c r="B48" s="285"/>
      <c r="C48" s="285"/>
      <c r="D48" s="285"/>
      <c r="E48" s="285"/>
      <c r="F48" s="260">
        <f>F22+F40+F41+F42+F43+F44</f>
        <v>19094</v>
      </c>
      <c r="G48" s="260">
        <f>G22+G40+G41+G42+G43+G44</f>
        <v>24763</v>
      </c>
      <c r="H48" s="285"/>
      <c r="I48" s="260">
        <f t="shared" ref="I48:U48" si="21">I22+I40+I41+I42+I43+I44</f>
        <v>38969</v>
      </c>
      <c r="J48" s="260">
        <f t="shared" si="21"/>
        <v>45548</v>
      </c>
      <c r="K48" s="260">
        <f t="shared" si="21"/>
        <v>53954</v>
      </c>
      <c r="L48" s="260">
        <f t="shared" si="21"/>
        <v>59108.64957364594</v>
      </c>
      <c r="M48" s="260">
        <f t="shared" si="21"/>
        <v>62712.464057726072</v>
      </c>
      <c r="N48" s="260">
        <f t="shared" si="21"/>
        <v>77103.178558634259</v>
      </c>
      <c r="O48" s="260">
        <f t="shared" si="21"/>
        <v>89553.14517105688</v>
      </c>
      <c r="P48" s="260">
        <f t="shared" si="21"/>
        <v>100627.74002293445</v>
      </c>
      <c r="Q48" s="260">
        <f t="shared" si="21"/>
        <v>110300.14396042029</v>
      </c>
      <c r="R48" s="260">
        <f t="shared" si="21"/>
        <v>119355.33035329448</v>
      </c>
      <c r="S48" s="260">
        <f t="shared" si="21"/>
        <v>126215.59682409864</v>
      </c>
      <c r="T48" s="260">
        <f t="shared" si="21"/>
        <v>131849.74321543108</v>
      </c>
      <c r="U48" s="260">
        <f t="shared" si="21"/>
        <v>136445.47768767958</v>
      </c>
      <c r="W48" s="285"/>
      <c r="X48" s="285"/>
      <c r="Y48" s="260">
        <f t="shared" si="15"/>
        <v>221323.11363137199</v>
      </c>
      <c r="Z48" s="260">
        <f t="shared" si="16"/>
        <v>377584.20771304588</v>
      </c>
      <c r="AA48" s="260">
        <f t="shared" si="17"/>
        <v>513866.1480805038</v>
      </c>
      <c r="AB48" s="58" t="s">
        <v>978</v>
      </c>
    </row>
    <row r="49" spans="1:29" ht="15" customHeight="1" x14ac:dyDescent="0.15">
      <c r="A49" s="57" t="s">
        <v>979</v>
      </c>
      <c r="B49" s="286"/>
      <c r="C49" s="286"/>
      <c r="D49" s="286"/>
      <c r="E49" s="286"/>
      <c r="F49" s="93">
        <f>IF(F31=0,0,F48/F31)</f>
        <v>0.77583194506521469</v>
      </c>
      <c r="G49" s="93">
        <f>IF(G31=0,0,G48/G31)</f>
        <v>1.0094162726235121</v>
      </c>
      <c r="H49" s="286"/>
      <c r="I49" s="93">
        <f t="shared" ref="I49:U49" si="22">IF(I31=0,0,I48/I31)</f>
        <v>1.5949983628028814</v>
      </c>
      <c r="J49" s="93">
        <f t="shared" si="22"/>
        <v>1.8674101102865812</v>
      </c>
      <c r="K49" s="93">
        <f t="shared" si="22"/>
        <v>2.2217006382540663</v>
      </c>
      <c r="L49" s="93">
        <f t="shared" si="22"/>
        <v>2.4421566802070194</v>
      </c>
      <c r="M49" s="93">
        <f t="shared" si="22"/>
        <v>2.6007291325726638</v>
      </c>
      <c r="N49" s="93">
        <f t="shared" si="22"/>
        <v>3.2111154925270391</v>
      </c>
      <c r="O49" s="93">
        <f t="shared" si="22"/>
        <v>3.7495043766002771</v>
      </c>
      <c r="P49" s="93">
        <f t="shared" si="22"/>
        <v>4.2392536677635686</v>
      </c>
      <c r="Q49" s="93">
        <f t="shared" si="22"/>
        <v>4.678831807859976</v>
      </c>
      <c r="R49" s="93">
        <f t="shared" si="22"/>
        <v>5.1019884551073469</v>
      </c>
      <c r="S49" s="93">
        <f t="shared" si="22"/>
        <v>5.4384296001320438</v>
      </c>
      <c r="T49" s="93">
        <f t="shared" si="22"/>
        <v>5.728598670495856</v>
      </c>
      <c r="U49" s="93">
        <f t="shared" si="22"/>
        <v>5.9791453826081877</v>
      </c>
      <c r="W49" s="286"/>
      <c r="X49" s="286"/>
      <c r="Y49" s="93">
        <f>IF(Y31=0,0,Y48/Y31)</f>
        <v>9.1273963502151041</v>
      </c>
      <c r="Z49" s="93">
        <f>IF(Z31=0,0,Z48/Z31)</f>
        <v>15.863756184801911</v>
      </c>
      <c r="AA49" s="93">
        <f>IF(AA31=0,0,AA48/AA31)</f>
        <v>22.236078845696429</v>
      </c>
      <c r="AB49" s="58" t="s">
        <v>980</v>
      </c>
    </row>
    <row r="50" spans="1:29" ht="15" customHeight="1" x14ac:dyDescent="0.15">
      <c r="A50" s="58" t="s">
        <v>981</v>
      </c>
      <c r="B50" s="281"/>
      <c r="C50" s="281"/>
      <c r="D50" s="281"/>
      <c r="E50" s="281"/>
      <c r="F50" s="281">
        <f>IF(F7=0,0,F45/F7)</f>
        <v>0.60809768054105573</v>
      </c>
      <c r="G50" s="281">
        <f>IF(G7=0,0,G45/G7)</f>
        <v>0.72528506942215942</v>
      </c>
      <c r="H50" s="281"/>
      <c r="I50" s="281">
        <f t="shared" ref="I50:U50" si="23">IF(I7=0,0,I45/I7)</f>
        <v>0.75065686144993904</v>
      </c>
      <c r="J50" s="281">
        <f t="shared" si="23"/>
        <v>0.75025424247993633</v>
      </c>
      <c r="K50" s="281">
        <f t="shared" si="23"/>
        <v>0.75023123850302953</v>
      </c>
      <c r="L50" s="281">
        <f t="shared" si="23"/>
        <v>0.74</v>
      </c>
      <c r="M50" s="281">
        <f t="shared" si="23"/>
        <v>0.71499999999999997</v>
      </c>
      <c r="N50" s="281">
        <f t="shared" si="23"/>
        <v>0.72</v>
      </c>
      <c r="O50" s="281">
        <f t="shared" si="23"/>
        <v>0.72399999999999987</v>
      </c>
      <c r="P50" s="281">
        <f t="shared" si="23"/>
        <v>0.72699999999999998</v>
      </c>
      <c r="Q50" s="281">
        <f t="shared" si="23"/>
        <v>0.72899999999999998</v>
      </c>
      <c r="R50" s="281">
        <f t="shared" si="23"/>
        <v>0.72899999999999998</v>
      </c>
      <c r="S50" s="281">
        <f t="shared" si="23"/>
        <v>0.72899999999999987</v>
      </c>
      <c r="T50" s="281">
        <f t="shared" si="23"/>
        <v>0.72899999999999998</v>
      </c>
      <c r="U50" s="281">
        <f t="shared" si="23"/>
        <v>0.72899999999999998</v>
      </c>
      <c r="W50" s="281"/>
      <c r="X50" s="281"/>
      <c r="Y50" s="281">
        <f>IF(Y7=0,0,Y45/Y7)</f>
        <v>0.73714950270912738</v>
      </c>
      <c r="Z50" s="281">
        <f>IF(Z7=0,0,Z45/Z7)</f>
        <v>0.72540851262082673</v>
      </c>
      <c r="AA50" s="281">
        <f>IF(AA7=0,0,AA45/AA7)</f>
        <v>0.72899999999999998</v>
      </c>
    </row>
    <row r="51" spans="1:29" ht="15" customHeight="1" x14ac:dyDescent="0.15">
      <c r="A51" s="58" t="s">
        <v>982</v>
      </c>
      <c r="B51" s="281"/>
      <c r="C51" s="281"/>
      <c r="D51" s="281"/>
      <c r="E51" s="281"/>
      <c r="F51" s="281">
        <f>IF(F7=0,0,F47/F7)</f>
        <v>0.49478008261086653</v>
      </c>
      <c r="G51" s="281">
        <f>IF(G7=0,0,G47/G7)</f>
        <v>0.61059409965128464</v>
      </c>
      <c r="H51" s="281"/>
      <c r="I51" s="281">
        <f t="shared" ref="I51:U51" si="24">IF(I7=0,0,I47/I7)</f>
        <v>0.65281019272828689</v>
      </c>
      <c r="J51" s="281">
        <f t="shared" si="24"/>
        <v>0.65898425534521843</v>
      </c>
      <c r="K51" s="281">
        <f t="shared" si="24"/>
        <v>0.66467818875297491</v>
      </c>
      <c r="L51" s="281">
        <f t="shared" si="24"/>
        <v>0.65608168916270992</v>
      </c>
      <c r="M51" s="281">
        <f t="shared" si="24"/>
        <v>0.63087359726880565</v>
      </c>
      <c r="N51" s="281">
        <f t="shared" si="24"/>
        <v>0.64267926817049992</v>
      </c>
      <c r="O51" s="281">
        <f t="shared" si="24"/>
        <v>0.65056103076553284</v>
      </c>
      <c r="P51" s="281">
        <f t="shared" si="24"/>
        <v>0.65572546807366705</v>
      </c>
      <c r="Q51" s="281">
        <f t="shared" si="24"/>
        <v>0.65863983714601226</v>
      </c>
      <c r="R51" s="281">
        <f t="shared" si="24"/>
        <v>0.66010793528277123</v>
      </c>
      <c r="S51" s="281">
        <f t="shared" si="24"/>
        <v>0.66025599607891017</v>
      </c>
      <c r="T51" s="281">
        <f t="shared" si="24"/>
        <v>0.65978929682895637</v>
      </c>
      <c r="U51" s="281">
        <f t="shared" si="24"/>
        <v>0.65885619098972958</v>
      </c>
      <c r="W51" s="281"/>
      <c r="X51" s="281"/>
      <c r="Y51" s="281">
        <f>IF(Y7=0,0,Y47/Y7)</f>
        <v>0.65130808167165133</v>
      </c>
      <c r="Z51" s="281">
        <f>IF(Z7=0,0,Z47/Z7)</f>
        <v>0.65262612131982445</v>
      </c>
      <c r="AA51" s="281">
        <f>IF(AA7=0,0,AA47/AA7)</f>
        <v>0.6597313113433092</v>
      </c>
    </row>
    <row r="52" spans="1:29" ht="15" customHeight="1" x14ac:dyDescent="0.15">
      <c r="A52" s="58" t="s">
        <v>983</v>
      </c>
      <c r="B52" s="281"/>
      <c r="C52" s="281"/>
      <c r="D52" s="281"/>
      <c r="E52" s="281"/>
      <c r="F52" s="281">
        <f>IF(F7=0,0,F48/F7)</f>
        <v>0.43334392447006492</v>
      </c>
      <c r="G52" s="281">
        <f>IF(G7=0,0,G48/G7)</f>
        <v>0.52976916329717816</v>
      </c>
      <c r="H52" s="281"/>
      <c r="I52" s="281">
        <f t="shared" ref="I52:U52" si="25">IF(I7=0,0,I48/I7)</f>
        <v>0.57200522553466315</v>
      </c>
      <c r="J52" s="281">
        <f t="shared" si="25"/>
        <v>0.55808368559701038</v>
      </c>
      <c r="K52" s="281">
        <f t="shared" si="25"/>
        <v>0.56072998617765357</v>
      </c>
      <c r="L52" s="281">
        <f t="shared" si="25"/>
        <v>0.53916282914061653</v>
      </c>
      <c r="M52" s="281">
        <f t="shared" si="25"/>
        <v>0.52599940255092859</v>
      </c>
      <c r="N52" s="281">
        <f t="shared" si="25"/>
        <v>0.53660433776185534</v>
      </c>
      <c r="O52" s="281">
        <f t="shared" si="25"/>
        <v>0.54397772316517823</v>
      </c>
      <c r="P52" s="281">
        <f t="shared" si="25"/>
        <v>0.54875249188518449</v>
      </c>
      <c r="Q52" s="281">
        <f t="shared" si="25"/>
        <v>0.55236555814046073</v>
      </c>
      <c r="R52" s="281">
        <f t="shared" si="25"/>
        <v>0.5548336803674353</v>
      </c>
      <c r="S52" s="281">
        <f t="shared" si="25"/>
        <v>0.55654685586776886</v>
      </c>
      <c r="T52" s="281">
        <f t="shared" si="25"/>
        <v>0.55778810763212205</v>
      </c>
      <c r="U52" s="281">
        <f t="shared" si="25"/>
        <v>0.55871602610856486</v>
      </c>
      <c r="W52" s="281"/>
      <c r="X52" s="281"/>
      <c r="Y52" s="281">
        <f>IF(Y7=0,0,Y48/Y7)</f>
        <v>0.54420356284711835</v>
      </c>
      <c r="Z52" s="281">
        <f>IF(Z7=0,0,Z48/Z7)</f>
        <v>0.54613437112181662</v>
      </c>
      <c r="AA52" s="281">
        <f>IF(AA7=0,0,AA48/AA7)</f>
        <v>0.55703965919563947</v>
      </c>
    </row>
    <row r="53" spans="1:29" ht="15" customHeight="1" x14ac:dyDescent="0.15">
      <c r="A53" s="58" t="s">
        <v>984</v>
      </c>
      <c r="F53" s="284">
        <f>F47+(-Raw_Data!F122)</f>
        <v>0</v>
      </c>
      <c r="G53" s="284">
        <f>G47+(-Raw_Data!G122)</f>
        <v>0</v>
      </c>
      <c r="I53" s="284">
        <f>I47+(-Raw_Data!I122)</f>
        <v>0</v>
      </c>
      <c r="J53" s="284">
        <f>J47+(-Raw_Data!J122)</f>
        <v>0</v>
      </c>
      <c r="K53" s="284">
        <f>K47+(-Raw_Data!K122)</f>
        <v>0</v>
      </c>
      <c r="AB53" s="58" t="s">
        <v>985</v>
      </c>
    </row>
    <row r="54" spans="1:29" ht="15" customHeight="1" x14ac:dyDescent="0.15">
      <c r="A54" s="58" t="s">
        <v>986</v>
      </c>
      <c r="F54" s="284">
        <f>F48+(-Raw_Data!F124)</f>
        <v>0</v>
      </c>
      <c r="G54" s="284">
        <f>G48+(-Raw_Data!G124)</f>
        <v>0</v>
      </c>
      <c r="I54" s="284">
        <f>I48+(-Raw_Data!I124)</f>
        <v>0</v>
      </c>
      <c r="J54" s="284">
        <f>J48+(-Raw_Data!J124)</f>
        <v>0</v>
      </c>
      <c r="K54" s="284">
        <f>K48+(-Raw_Data!K124)</f>
        <v>0</v>
      </c>
    </row>
    <row r="55" spans="1:29" ht="15" customHeight="1" x14ac:dyDescent="0.15">
      <c r="A55" s="58" t="s">
        <v>987</v>
      </c>
      <c r="F55" s="286">
        <f>F49+(-Raw_Data!F125)</f>
        <v>-4.1680549347853368E-3</v>
      </c>
      <c r="G55" s="286">
        <f>G49+(-Raw_Data!G125)</f>
        <v>-5.8372737648793027E-4</v>
      </c>
      <c r="I55" s="286">
        <f>I49+(-Raw_Data!I125)</f>
        <v>4.9983628028813509E-3</v>
      </c>
      <c r="J55" s="286">
        <f>J49+(-Raw_Data!J125)</f>
        <v>-2.5898897134188914E-3</v>
      </c>
      <c r="K55" s="286">
        <f>K49+(-Raw_Data!K125)</f>
        <v>1.700638254066078E-3</v>
      </c>
    </row>
    <row r="57" spans="1:29" ht="15" customHeight="1" x14ac:dyDescent="0.15">
      <c r="A57" s="59" t="s">
        <v>988</v>
      </c>
      <c r="B57" s="114"/>
      <c r="C57" s="114"/>
      <c r="D57" s="114"/>
      <c r="E57" s="114"/>
      <c r="F57" s="114"/>
      <c r="G57" s="114"/>
      <c r="H57" s="114"/>
      <c r="I57" s="114"/>
      <c r="J57" s="114"/>
      <c r="K57" s="114"/>
      <c r="L57" s="114"/>
      <c r="M57" s="114"/>
      <c r="N57" s="114"/>
      <c r="O57" s="114"/>
      <c r="P57" s="114"/>
      <c r="Q57" s="114"/>
      <c r="R57" s="114"/>
      <c r="S57" s="114"/>
      <c r="T57" s="114"/>
      <c r="U57" s="114"/>
      <c r="V57" s="211"/>
      <c r="W57" s="114"/>
      <c r="X57" s="114"/>
      <c r="Y57" s="114"/>
      <c r="Z57" s="114"/>
      <c r="AA57" s="114"/>
      <c r="AB57" s="114"/>
      <c r="AC57" s="114"/>
    </row>
    <row r="58" spans="1:29" ht="15" customHeight="1" x14ac:dyDescent="0.15">
      <c r="A58" s="57" t="s">
        <v>989</v>
      </c>
      <c r="B58" s="58"/>
      <c r="C58" s="58"/>
      <c r="D58" s="245">
        <f>Raw_Data!D131</f>
        <v>50</v>
      </c>
      <c r="E58" s="245">
        <f>Raw_Data!E131</f>
        <v>53</v>
      </c>
      <c r="F58" s="245">
        <f>Raw_Data!F131</f>
        <v>64</v>
      </c>
      <c r="G58" s="245">
        <f>Raw_Data!G131</f>
        <v>58</v>
      </c>
      <c r="H58" s="245">
        <f>Raw_Data!H131</f>
        <v>70</v>
      </c>
      <c r="I58" s="245">
        <f>Raw_Data!I131</f>
        <v>69</v>
      </c>
      <c r="J58" s="58"/>
      <c r="K58" s="58"/>
      <c r="W58" s="245">
        <f>Raw_Data!Q131</f>
        <v>178</v>
      </c>
      <c r="X58" s="245">
        <f>Raw_Data!R131</f>
        <v>261</v>
      </c>
      <c r="AB58" s="58" t="s">
        <v>990</v>
      </c>
    </row>
    <row r="59" spans="1:29" ht="15" customHeight="1" x14ac:dyDescent="0.15">
      <c r="A59" s="57" t="s">
        <v>991</v>
      </c>
      <c r="B59" s="58"/>
      <c r="C59" s="58"/>
      <c r="D59" s="245">
        <f>Raw_Data!D132</f>
        <v>116</v>
      </c>
      <c r="E59" s="245">
        <f>Raw_Data!E132</f>
        <v>118</v>
      </c>
      <c r="F59" s="245">
        <f>Raw_Data!F132</f>
        <v>123</v>
      </c>
      <c r="G59" s="245">
        <f>Raw_Data!G132</f>
        <v>49</v>
      </c>
      <c r="H59" s="245">
        <f>Raw_Data!H132</f>
        <v>48</v>
      </c>
      <c r="I59" s="245">
        <f>Raw_Data!I132</f>
        <v>48</v>
      </c>
      <c r="J59" s="58"/>
      <c r="K59" s="58"/>
      <c r="W59" s="245">
        <f>Raw_Data!Q132</f>
        <v>472</v>
      </c>
      <c r="X59" s="245">
        <f>Raw_Data!R132</f>
        <v>267</v>
      </c>
    </row>
    <row r="60" spans="1:29" ht="15" customHeight="1" x14ac:dyDescent="0.15">
      <c r="A60" s="57" t="s">
        <v>992</v>
      </c>
      <c r="B60" s="58"/>
      <c r="C60" s="58"/>
      <c r="D60" s="245">
        <f>Raw_Data!D133</f>
        <v>0</v>
      </c>
      <c r="E60" s="245">
        <f>Raw_Data!E133</f>
        <v>0</v>
      </c>
      <c r="F60" s="245">
        <f>Raw_Data!F133</f>
        <v>3</v>
      </c>
      <c r="G60" s="245">
        <f>Raw_Data!G133</f>
        <v>0</v>
      </c>
      <c r="H60" s="245">
        <f>Raw_Data!H133</f>
        <v>0</v>
      </c>
      <c r="I60" s="245">
        <f>Raw_Data!I133</f>
        <v>-1</v>
      </c>
      <c r="J60" s="58"/>
      <c r="K60" s="58"/>
      <c r="W60" s="245">
        <f>Raw_Data!Q133</f>
        <v>-3</v>
      </c>
      <c r="X60" s="245">
        <f>Raw_Data!R133</f>
        <v>3</v>
      </c>
    </row>
    <row r="61" spans="1:29" ht="15" customHeight="1" x14ac:dyDescent="0.15">
      <c r="A61" s="57" t="s">
        <v>993</v>
      </c>
      <c r="B61" s="58"/>
      <c r="C61" s="58"/>
      <c r="D61" s="245">
        <f>Raw_Data!D134</f>
        <v>1241</v>
      </c>
      <c r="E61" s="245">
        <f>Raw_Data!E134</f>
        <v>1311</v>
      </c>
      <c r="F61" s="245">
        <f>Raw_Data!F134</f>
        <v>1447</v>
      </c>
      <c r="G61" s="245">
        <f>Raw_Data!G134</f>
        <v>1618</v>
      </c>
      <c r="H61" s="245">
        <f>Raw_Data!H134</f>
        <v>1624</v>
      </c>
      <c r="I61" s="245">
        <f>Raw_Data!I134</f>
        <v>1692</v>
      </c>
      <c r="J61" s="58"/>
      <c r="K61" s="58"/>
      <c r="W61" s="245">
        <f>Raw_Data!Q134</f>
        <v>4689</v>
      </c>
      <c r="X61" s="245">
        <f>Raw_Data!R134</f>
        <v>6382</v>
      </c>
    </row>
    <row r="62" spans="1:29" ht="15" customHeight="1" x14ac:dyDescent="0.15">
      <c r="A62" s="57" t="s">
        <v>994</v>
      </c>
      <c r="B62" s="58"/>
      <c r="C62" s="58"/>
      <c r="D62" s="245">
        <f>Raw_Data!D135</f>
        <v>-37</v>
      </c>
      <c r="E62" s="245">
        <f>Raw_Data!E135</f>
        <v>-727</v>
      </c>
      <c r="F62" s="245">
        <f>Raw_Data!F135</f>
        <v>175</v>
      </c>
      <c r="G62" s="245">
        <f>Raw_Data!G135</f>
        <v>-2247</v>
      </c>
      <c r="H62" s="245">
        <f>Raw_Data!H135</f>
        <v>-1354</v>
      </c>
      <c r="I62" s="245">
        <f>Raw_Data!I135</f>
        <v>-5491</v>
      </c>
      <c r="J62" s="58"/>
      <c r="K62" s="58"/>
      <c r="W62" s="245">
        <f>Raw_Data!Q135</f>
        <v>-1030</v>
      </c>
      <c r="X62" s="245">
        <f>Raw_Data!R135</f>
        <v>-8918</v>
      </c>
    </row>
    <row r="63" spans="1:29" ht="15" customHeight="1" x14ac:dyDescent="0.15">
      <c r="A63" s="57" t="s">
        <v>995</v>
      </c>
      <c r="B63" s="58"/>
      <c r="C63" s="58"/>
      <c r="D63" s="245">
        <f>Raw_Data!D136</f>
        <v>1</v>
      </c>
      <c r="E63" s="245">
        <f>Raw_Data!E136</f>
        <v>1</v>
      </c>
      <c r="F63" s="245">
        <f>Raw_Data!F136</f>
        <v>1</v>
      </c>
      <c r="G63" s="245">
        <f>Raw_Data!G136</f>
        <v>1</v>
      </c>
      <c r="H63" s="245">
        <f>Raw_Data!H136</f>
        <v>1</v>
      </c>
      <c r="I63" s="245">
        <f>Raw_Data!I136</f>
        <v>0</v>
      </c>
      <c r="J63" s="58"/>
      <c r="K63" s="58"/>
      <c r="W63" s="245">
        <f>Raw_Data!Q136</f>
        <v>4</v>
      </c>
      <c r="X63" s="245">
        <f>Raw_Data!R136</f>
        <v>0</v>
      </c>
    </row>
    <row r="64" spans="1:29" ht="15" customHeight="1" x14ac:dyDescent="0.15">
      <c r="A64" s="57" t="s">
        <v>996</v>
      </c>
      <c r="B64" s="58"/>
      <c r="C64" s="58"/>
      <c r="D64" s="245">
        <f>Raw_Data!D137</f>
        <v>0</v>
      </c>
      <c r="E64" s="245">
        <f>Raw_Data!E137</f>
        <v>0</v>
      </c>
      <c r="F64" s="245">
        <f>Raw_Data!F137</f>
        <v>0</v>
      </c>
      <c r="G64" s="245">
        <f>Raw_Data!G137</f>
        <v>0</v>
      </c>
      <c r="H64" s="245">
        <f>Raw_Data!H137</f>
        <v>0</v>
      </c>
      <c r="I64" s="245">
        <f>Raw_Data!I137</f>
        <v>13</v>
      </c>
      <c r="J64" s="58"/>
      <c r="K64" s="58"/>
      <c r="W64" s="245">
        <f>Raw_Data!Q137</f>
        <v>0</v>
      </c>
      <c r="X64" s="245">
        <f>Raw_Data!R137</f>
        <v>16</v>
      </c>
    </row>
    <row r="65" spans="1:28" ht="15" customHeight="1" x14ac:dyDescent="0.15">
      <c r="A65" s="57" t="s">
        <v>997</v>
      </c>
      <c r="B65" s="58"/>
      <c r="C65" s="58"/>
      <c r="D65" s="245">
        <f>Raw_Data!D139</f>
        <v>-670</v>
      </c>
      <c r="E65" s="245">
        <f>Raw_Data!E139</f>
        <v>-781</v>
      </c>
      <c r="F65" s="245">
        <f>Raw_Data!F139</f>
        <v>-694</v>
      </c>
      <c r="G65" s="245">
        <f>Raw_Data!G139</f>
        <v>-166</v>
      </c>
      <c r="H65" s="245">
        <f>Raw_Data!H139</f>
        <v>-532</v>
      </c>
      <c r="I65" s="245">
        <f>Raw_Data!I139</f>
        <v>262</v>
      </c>
      <c r="J65" s="58"/>
      <c r="K65" s="58"/>
      <c r="W65" s="245">
        <f>Raw_Data!Q139</f>
        <v>-2925</v>
      </c>
      <c r="X65" s="245">
        <f>Raw_Data!R139</f>
        <v>-1129</v>
      </c>
    </row>
    <row r="66" spans="1:28" ht="15" customHeight="1" x14ac:dyDescent="0.15">
      <c r="A66" s="57" t="s">
        <v>998</v>
      </c>
      <c r="B66" s="58"/>
      <c r="C66" s="58"/>
      <c r="D66" s="245">
        <f>Raw_Data!D140</f>
        <v>0</v>
      </c>
      <c r="E66" s="245">
        <f>Raw_Data!E140</f>
        <v>0</v>
      </c>
      <c r="F66" s="245">
        <f>Raw_Data!F140</f>
        <v>0</v>
      </c>
      <c r="G66" s="245">
        <f>Raw_Data!G140</f>
        <v>48</v>
      </c>
      <c r="H66" s="245">
        <f>Raw_Data!H140</f>
        <v>0</v>
      </c>
      <c r="I66" s="245">
        <f>Raw_Data!I140</f>
        <v>0</v>
      </c>
      <c r="J66" s="58"/>
      <c r="K66" s="58"/>
      <c r="W66" s="245">
        <f>Raw_Data!Q140</f>
        <v>0</v>
      </c>
      <c r="X66" s="245">
        <f>Raw_Data!R140</f>
        <v>48</v>
      </c>
    </row>
    <row r="67" spans="1:28" ht="15" customHeight="1" x14ac:dyDescent="0.15">
      <c r="A67" s="56" t="s">
        <v>999</v>
      </c>
      <c r="B67" s="284"/>
      <c r="C67" s="284"/>
      <c r="D67" s="260">
        <f t="shared" ref="D67:I67" si="26">(D9)+D58+D59+D60</f>
        <v>26322</v>
      </c>
      <c r="E67" s="260">
        <f t="shared" si="26"/>
        <v>28894</v>
      </c>
      <c r="F67" s="260">
        <f t="shared" si="26"/>
        <v>26858</v>
      </c>
      <c r="G67" s="260">
        <f t="shared" si="26"/>
        <v>33960</v>
      </c>
      <c r="H67" s="260">
        <f t="shared" si="26"/>
        <v>41967</v>
      </c>
      <c r="I67" s="260">
        <f t="shared" si="26"/>
        <v>51209</v>
      </c>
      <c r="J67" s="284"/>
      <c r="K67" s="284"/>
      <c r="W67" s="277">
        <f>Raw_Data!Q141</f>
        <v>98505</v>
      </c>
      <c r="X67" s="277">
        <f>Raw_Data!R141</f>
        <v>153994</v>
      </c>
      <c r="AB67" s="58" t="s">
        <v>1000</v>
      </c>
    </row>
    <row r="68" spans="1:28" ht="15" customHeight="1" x14ac:dyDescent="0.15">
      <c r="A68" s="57" t="s">
        <v>1001</v>
      </c>
      <c r="B68" s="284"/>
      <c r="C68" s="284"/>
      <c r="D68" s="77">
        <f t="shared" ref="D68:I68" si="27">(D10+D11+D12)+D61</f>
        <v>-3046</v>
      </c>
      <c r="E68" s="77">
        <f t="shared" si="27"/>
        <v>-3378</v>
      </c>
      <c r="F68" s="77">
        <f t="shared" si="27"/>
        <v>-3583</v>
      </c>
      <c r="G68" s="77">
        <f t="shared" si="27"/>
        <v>-3795</v>
      </c>
      <c r="H68" s="77">
        <f t="shared" si="27"/>
        <v>-4215</v>
      </c>
      <c r="I68" s="77">
        <f t="shared" si="27"/>
        <v>-5102</v>
      </c>
      <c r="J68" s="284"/>
      <c r="K68" s="284"/>
      <c r="W68" s="245">
        <f>Raw_Data!Q143</f>
        <v>11716</v>
      </c>
      <c r="X68" s="245">
        <f>Raw_Data!R143</f>
        <v>16694</v>
      </c>
    </row>
    <row r="69" spans="1:28" ht="15" customHeight="1" x14ac:dyDescent="0.15">
      <c r="A69" s="56" t="s">
        <v>1002</v>
      </c>
      <c r="B69" s="284"/>
      <c r="C69" s="284"/>
      <c r="D69" s="260">
        <f t="shared" ref="D69:I69" si="28">D67+D68</f>
        <v>23276</v>
      </c>
      <c r="E69" s="260">
        <f t="shared" si="28"/>
        <v>25516</v>
      </c>
      <c r="F69" s="260">
        <f t="shared" si="28"/>
        <v>23275</v>
      </c>
      <c r="G69" s="260">
        <f t="shared" si="28"/>
        <v>30165</v>
      </c>
      <c r="H69" s="260">
        <f t="shared" si="28"/>
        <v>37752</v>
      </c>
      <c r="I69" s="260">
        <f t="shared" si="28"/>
        <v>46107</v>
      </c>
      <c r="J69" s="284"/>
      <c r="K69" s="284"/>
      <c r="W69" s="277">
        <f>Raw_Data!Q144</f>
        <v>86789</v>
      </c>
      <c r="X69" s="277">
        <f>Raw_Data!R144</f>
        <v>137300</v>
      </c>
    </row>
    <row r="70" spans="1:28" ht="15" customHeight="1" x14ac:dyDescent="0.15">
      <c r="A70" s="56" t="s">
        <v>1003</v>
      </c>
      <c r="B70" s="284"/>
      <c r="C70" s="284"/>
      <c r="D70" s="260">
        <f t="shared" ref="D70:I70" si="29">D22+SUM(D58:D66)</f>
        <v>20010</v>
      </c>
      <c r="E70" s="260">
        <f t="shared" si="29"/>
        <v>22066</v>
      </c>
      <c r="F70" s="260">
        <f t="shared" si="29"/>
        <v>19894</v>
      </c>
      <c r="G70" s="260">
        <f t="shared" si="29"/>
        <v>25783</v>
      </c>
      <c r="H70" s="260">
        <f t="shared" si="29"/>
        <v>31767</v>
      </c>
      <c r="I70" s="260">
        <f t="shared" si="29"/>
        <v>39552</v>
      </c>
      <c r="J70" s="284"/>
      <c r="K70" s="284"/>
      <c r="W70" s="277">
        <f>Raw_Data!Q146</f>
        <v>74265</v>
      </c>
      <c r="X70" s="277">
        <f>Raw_Data!R146</f>
        <v>116997</v>
      </c>
    </row>
    <row r="71" spans="1:28" ht="15" customHeight="1" x14ac:dyDescent="0.15">
      <c r="A71" s="57" t="s">
        <v>1004</v>
      </c>
      <c r="B71" s="58"/>
      <c r="C71" s="58"/>
      <c r="D71" s="93">
        <f t="shared" ref="D71:I71" si="30">IF(D31=0,0,D70/D31)</f>
        <v>0.80770162266892709</v>
      </c>
      <c r="E71" s="93">
        <f t="shared" si="30"/>
        <v>0.89314336598397148</v>
      </c>
      <c r="F71" s="93">
        <f t="shared" si="30"/>
        <v>0.80833773515907525</v>
      </c>
      <c r="G71" s="93">
        <f t="shared" si="30"/>
        <v>1.0509946192727866</v>
      </c>
      <c r="H71" s="93">
        <f t="shared" si="30"/>
        <v>1.2975125597353265</v>
      </c>
      <c r="I71" s="93">
        <f t="shared" si="30"/>
        <v>1.618860510805501</v>
      </c>
      <c r="J71" s="58"/>
      <c r="K71" s="58"/>
      <c r="W71" s="287">
        <f>Raw_Data!Q147</f>
        <v>2.99</v>
      </c>
      <c r="X71" s="287">
        <f>Raw_Data!R147</f>
        <v>4.7699999999999996</v>
      </c>
      <c r="AB71" s="58" t="s">
        <v>1005</v>
      </c>
    </row>
    <row r="72" spans="1:28" ht="15" customHeight="1" x14ac:dyDescent="0.15">
      <c r="A72" s="58" t="s">
        <v>1006</v>
      </c>
      <c r="B72" s="58"/>
      <c r="C72" s="58"/>
      <c r="D72" s="281">
        <f t="shared" ref="D72:I72" si="31">IF(D7=0,0,D67/D7)</f>
        <v>0.75029929878570212</v>
      </c>
      <c r="E72" s="281">
        <f t="shared" si="31"/>
        <v>0.7346368004881646</v>
      </c>
      <c r="F72" s="281">
        <f t="shared" si="31"/>
        <v>0.60955017929281463</v>
      </c>
      <c r="G72" s="281">
        <f t="shared" si="31"/>
        <v>0.72652589692574288</v>
      </c>
      <c r="H72" s="281">
        <f t="shared" si="31"/>
        <v>0.73618566466687718</v>
      </c>
      <c r="I72" s="281">
        <f t="shared" si="31"/>
        <v>0.75166967575263843</v>
      </c>
      <c r="J72" s="58"/>
      <c r="K72" s="58"/>
      <c r="W72" s="281">
        <f>IF(W7=0,0,W67/W7)</f>
        <v>0.75484493896411409</v>
      </c>
      <c r="X72" s="281">
        <f>IF(X7=0,0,X67/X7)</f>
        <v>0.71313988274412099</v>
      </c>
    </row>
    <row r="73" spans="1:28" ht="15" customHeight="1" x14ac:dyDescent="0.15">
      <c r="A73" s="58" t="s">
        <v>1007</v>
      </c>
      <c r="B73" s="58"/>
      <c r="C73" s="58"/>
      <c r="D73" s="281">
        <f t="shared" ref="D73:I73" si="32">IF(D7=0,0,D69/D7)</f>
        <v>0.66347414628584456</v>
      </c>
      <c r="E73" s="281">
        <f t="shared" si="32"/>
        <v>0.64875034959700995</v>
      </c>
      <c r="F73" s="281">
        <f t="shared" si="32"/>
        <v>0.52823294448731328</v>
      </c>
      <c r="G73" s="281">
        <f t="shared" si="32"/>
        <v>0.64533726975162053</v>
      </c>
      <c r="H73" s="281">
        <f t="shared" si="32"/>
        <v>0.66224607936006741</v>
      </c>
      <c r="I73" s="281">
        <f t="shared" si="32"/>
        <v>0.67678013122550529</v>
      </c>
      <c r="J73" s="58"/>
      <c r="K73" s="58"/>
      <c r="W73" s="281">
        <f>IF(W7=0,0,W69/W7)</f>
        <v>0.66506509728192986</v>
      </c>
      <c r="X73" s="281">
        <f>IF(X7=0,0,X69/X7)</f>
        <v>0.63583065509544401</v>
      </c>
    </row>
    <row r="74" spans="1:28" ht="15" customHeight="1" x14ac:dyDescent="0.15">
      <c r="A74" s="58" t="s">
        <v>984</v>
      </c>
      <c r="D74" s="284">
        <f>D69+(-Raw_Data!D144)</f>
        <v>0</v>
      </c>
      <c r="E74" s="284">
        <f>E69+(-Raw_Data!E144)</f>
        <v>0</v>
      </c>
      <c r="F74" s="284">
        <f>F69+(-Raw_Data!F144)</f>
        <v>0</v>
      </c>
      <c r="G74" s="284">
        <f>G69+(-Raw_Data!G144)</f>
        <v>0</v>
      </c>
      <c r="H74" s="284">
        <f>H69+(-Raw_Data!H144)</f>
        <v>0</v>
      </c>
      <c r="I74" s="284">
        <f>I69+(-Raw_Data!I144)</f>
        <v>0</v>
      </c>
      <c r="W74" s="284">
        <f>W69+(-Raw_Data!Q144)</f>
        <v>0</v>
      </c>
      <c r="X74" s="284">
        <f>X69+(-Raw_Data!R144)</f>
        <v>0</v>
      </c>
      <c r="AB74" s="58" t="s">
        <v>1008</v>
      </c>
    </row>
    <row r="75" spans="1:28" ht="15" customHeight="1" x14ac:dyDescent="0.15">
      <c r="A75" s="58" t="s">
        <v>986</v>
      </c>
      <c r="D75" s="284">
        <f>D70+(-Raw_Data!D146)</f>
        <v>0</v>
      </c>
      <c r="E75" s="284">
        <f>E70+(-Raw_Data!E146)</f>
        <v>0</v>
      </c>
      <c r="F75" s="284">
        <f>F70+(-Raw_Data!F146)</f>
        <v>0</v>
      </c>
      <c r="G75" s="284">
        <f>G70+(-Raw_Data!G146)</f>
        <v>0</v>
      </c>
      <c r="H75" s="284">
        <f>H70+(-Raw_Data!H146)</f>
        <v>0</v>
      </c>
      <c r="I75" s="284">
        <f>I70+(-Raw_Data!I146)</f>
        <v>0</v>
      </c>
      <c r="W75" s="284">
        <f>W70+(-Raw_Data!Q146)</f>
        <v>0</v>
      </c>
      <c r="X75" s="284">
        <f>X70+(-Raw_Data!R146)</f>
        <v>0</v>
      </c>
    </row>
    <row r="76" spans="1:28" ht="15" customHeight="1" x14ac:dyDescent="0.15">
      <c r="A76" s="58" t="s">
        <v>987</v>
      </c>
      <c r="D76" s="286">
        <f>D71+(-Raw_Data!D147)</f>
        <v>-2.2983773310729649E-3</v>
      </c>
      <c r="E76" s="286">
        <f>E71+(-Raw_Data!E147)</f>
        <v>3.1433659839714689E-3</v>
      </c>
      <c r="F76" s="286">
        <f>F71+(-Raw_Data!F147)</f>
        <v>-1.6622648409247986E-3</v>
      </c>
      <c r="G76" s="286">
        <f>G71+(-Raw_Data!G147)</f>
        <v>9.9461927278654549E-4</v>
      </c>
      <c r="H76" s="286">
        <f>H71+(-Raw_Data!H147)</f>
        <v>-2.4874402646735128E-3</v>
      </c>
      <c r="I76" s="286">
        <f>I71+(-Raw_Data!I147)</f>
        <v>-1.1394891944991326E-3</v>
      </c>
      <c r="W76" s="286">
        <f>W71+(-Raw_Data!Q147)</f>
        <v>0</v>
      </c>
      <c r="X76" s="286">
        <f>X71+(-Raw_Data!R147)</f>
        <v>0</v>
      </c>
    </row>
  </sheetData>
  <phoneticPr fontId="61" type="noConversion"/>
  <pageMargins left="0.75" right="0.75" top="1" bottom="1" header="0.511811023622047" footer="0.511811023622047"/>
  <pageSetup paperSize="9"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41"/>
  <sheetViews>
    <sheetView showGridLines="0" zoomScale="80" zoomScaleNormal="80" workbookViewId="0">
      <pane xSplit="1" ySplit="6" topLeftCell="B7" activePane="bottomRight" state="frozen"/>
      <selection pane="topRight" activeCell="B1" sqref="B1"/>
      <selection pane="bottomLeft" activeCell="A7" sqref="A7"/>
      <selection pane="bottomRight"/>
    </sheetView>
  </sheetViews>
  <sheetFormatPr baseColWidth="10" defaultColWidth="9.5" defaultRowHeight="14" x14ac:dyDescent="0.15"/>
  <cols>
    <col min="1" max="1" width="50" customWidth="1"/>
    <col min="2" max="21" width="14.1640625" customWidth="1"/>
    <col min="22" max="22" width="2.1640625" customWidth="1"/>
    <col min="23" max="27" width="14.1640625" customWidth="1"/>
    <col min="28" max="29" width="56.6640625" customWidth="1"/>
  </cols>
  <sheetData>
    <row r="1" spans="1:29" ht="21.75" customHeight="1" x14ac:dyDescent="0.2">
      <c r="A1" s="68" t="s">
        <v>1009</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ht="15" customHeight="1" x14ac:dyDescent="0.15">
      <c r="A2" s="56" t="s">
        <v>646</v>
      </c>
    </row>
    <row r="3" spans="1:29" ht="15" customHeight="1" x14ac:dyDescent="0.15">
      <c r="A3" s="57" t="s">
        <v>647</v>
      </c>
    </row>
    <row r="4" spans="1:29" ht="15" customHeight="1" x14ac:dyDescent="0.15">
      <c r="A4" s="73" t="s">
        <v>215</v>
      </c>
      <c r="B4" s="98" t="s">
        <v>648</v>
      </c>
      <c r="C4" s="98" t="s">
        <v>649</v>
      </c>
      <c r="D4" s="98" t="s">
        <v>650</v>
      </c>
      <c r="E4" s="98" t="s">
        <v>651</v>
      </c>
      <c r="F4" s="98" t="s">
        <v>652</v>
      </c>
      <c r="G4" s="98" t="s">
        <v>653</v>
      </c>
      <c r="H4" s="98" t="s">
        <v>654</v>
      </c>
      <c r="I4" s="98" t="s">
        <v>655</v>
      </c>
      <c r="J4" s="98" t="s">
        <v>656</v>
      </c>
      <c r="K4" s="98" t="s">
        <v>657</v>
      </c>
      <c r="L4" s="98" t="s">
        <v>658</v>
      </c>
      <c r="M4" s="98" t="s">
        <v>659</v>
      </c>
      <c r="N4" s="98" t="s">
        <v>660</v>
      </c>
      <c r="O4" s="98" t="s">
        <v>661</v>
      </c>
      <c r="P4" s="98" t="s">
        <v>662</v>
      </c>
      <c r="Q4" s="98" t="s">
        <v>663</v>
      </c>
      <c r="R4" s="98" t="s">
        <v>664</v>
      </c>
      <c r="S4" s="98" t="s">
        <v>665</v>
      </c>
      <c r="T4" s="98" t="s">
        <v>666</v>
      </c>
      <c r="U4" s="98" t="s">
        <v>667</v>
      </c>
      <c r="V4" s="211"/>
      <c r="W4" s="98" t="s">
        <v>651</v>
      </c>
      <c r="X4" s="98" t="s">
        <v>655</v>
      </c>
      <c r="Y4" s="98" t="s">
        <v>659</v>
      </c>
      <c r="Z4" s="98" t="s">
        <v>663</v>
      </c>
      <c r="AA4" s="98" t="s">
        <v>667</v>
      </c>
      <c r="AB4" s="69"/>
      <c r="AC4" s="69"/>
    </row>
    <row r="5" spans="1:29" ht="15" customHeight="1" x14ac:dyDescent="0.15">
      <c r="A5" s="73" t="s">
        <v>668</v>
      </c>
      <c r="B5" s="74" t="s">
        <v>669</v>
      </c>
      <c r="C5" s="74" t="s">
        <v>670</v>
      </c>
      <c r="D5" s="74" t="s">
        <v>671</v>
      </c>
      <c r="E5" s="74" t="s">
        <v>672</v>
      </c>
      <c r="F5" s="74" t="s">
        <v>673</v>
      </c>
      <c r="G5" s="74" t="s">
        <v>674</v>
      </c>
      <c r="H5" s="74" t="s">
        <v>675</v>
      </c>
      <c r="I5" s="74" t="s">
        <v>676</v>
      </c>
      <c r="J5" s="74" t="s">
        <v>677</v>
      </c>
      <c r="K5" s="74" t="s">
        <v>678</v>
      </c>
      <c r="L5" s="74" t="s">
        <v>547</v>
      </c>
      <c r="M5" s="74" t="s">
        <v>548</v>
      </c>
      <c r="N5" s="74" t="s">
        <v>679</v>
      </c>
      <c r="O5" s="74" t="s">
        <v>680</v>
      </c>
      <c r="P5" s="74" t="s">
        <v>681</v>
      </c>
      <c r="Q5" s="74" t="s">
        <v>682</v>
      </c>
      <c r="R5" s="74" t="s">
        <v>683</v>
      </c>
      <c r="S5" s="74" t="s">
        <v>684</v>
      </c>
      <c r="T5" s="74" t="s">
        <v>685</v>
      </c>
      <c r="U5" s="74" t="s">
        <v>686</v>
      </c>
      <c r="V5" s="231"/>
      <c r="W5" s="74" t="s">
        <v>687</v>
      </c>
      <c r="X5" s="74" t="s">
        <v>549</v>
      </c>
      <c r="Y5" s="74" t="s">
        <v>236</v>
      </c>
      <c r="Z5" s="74" t="s">
        <v>237</v>
      </c>
      <c r="AA5" s="74" t="s">
        <v>238</v>
      </c>
      <c r="AB5" s="73"/>
      <c r="AC5" s="73"/>
    </row>
    <row r="6" spans="1:29" ht="15" customHeight="1" x14ac:dyDescent="0.15">
      <c r="A6" s="56" t="s">
        <v>358</v>
      </c>
      <c r="B6" s="232" t="s">
        <v>359</v>
      </c>
      <c r="C6" s="232" t="s">
        <v>359</v>
      </c>
      <c r="D6" s="232" t="s">
        <v>359</v>
      </c>
      <c r="E6" s="232" t="s">
        <v>359</v>
      </c>
      <c r="F6" s="232" t="s">
        <v>359</v>
      </c>
      <c r="G6" s="232" t="s">
        <v>359</v>
      </c>
      <c r="H6" s="232" t="s">
        <v>359</v>
      </c>
      <c r="I6" s="232" t="s">
        <v>359</v>
      </c>
      <c r="J6" s="232" t="s">
        <v>359</v>
      </c>
      <c r="K6" s="232" t="s">
        <v>359</v>
      </c>
      <c r="L6" s="232" t="s">
        <v>551</v>
      </c>
      <c r="M6" s="232" t="s">
        <v>551</v>
      </c>
      <c r="N6" s="232" t="s">
        <v>551</v>
      </c>
      <c r="O6" s="232" t="s">
        <v>551</v>
      </c>
      <c r="P6" s="232" t="s">
        <v>551</v>
      </c>
      <c r="Q6" s="232" t="s">
        <v>551</v>
      </c>
      <c r="R6" s="232" t="s">
        <v>551</v>
      </c>
      <c r="S6" s="232" t="s">
        <v>551</v>
      </c>
      <c r="T6" s="232" t="s">
        <v>551</v>
      </c>
      <c r="U6" s="232" t="s">
        <v>551</v>
      </c>
      <c r="V6" s="211"/>
      <c r="W6" s="232" t="s">
        <v>359</v>
      </c>
      <c r="X6" s="232" t="s">
        <v>359</v>
      </c>
      <c r="Y6" s="232" t="s">
        <v>551</v>
      </c>
      <c r="Z6" s="232" t="s">
        <v>551</v>
      </c>
      <c r="AA6" s="232" t="s">
        <v>551</v>
      </c>
    </row>
    <row r="7" spans="1:29" ht="15" customHeight="1" x14ac:dyDescent="0.15">
      <c r="A7" s="57" t="s">
        <v>1010</v>
      </c>
      <c r="B7" s="245">
        <f>Raw_Data!B26</f>
        <v>7587</v>
      </c>
      <c r="C7" s="245">
        <f>Raw_Data!C26</f>
        <v>8563</v>
      </c>
      <c r="D7" s="245">
        <f>Raw_Data!D26</f>
        <v>9107</v>
      </c>
      <c r="E7" s="245">
        <f>Raw_Data!E26</f>
        <v>8589</v>
      </c>
      <c r="F7" s="245">
        <f>Raw_Data!F26</f>
        <v>15234</v>
      </c>
      <c r="G7" s="245">
        <f>Raw_Data!G26</f>
        <v>11639</v>
      </c>
      <c r="H7" s="245">
        <f>Raw_Data!H26</f>
        <v>11486</v>
      </c>
      <c r="I7" s="245">
        <f>Raw_Data!I26</f>
        <v>10605</v>
      </c>
      <c r="J7" s="245">
        <f>Raw_Data!J26</f>
        <v>13237</v>
      </c>
      <c r="K7" s="245">
        <f>Raw_Data!K26</f>
        <v>22443</v>
      </c>
      <c r="L7" s="77">
        <f>CF!L28</f>
        <v>35100.796951367389</v>
      </c>
      <c r="M7" s="77">
        <f>CF!M28</f>
        <v>50366.12336055444</v>
      </c>
      <c r="N7" s="77">
        <f>CF!N28</f>
        <v>69246.169568234138</v>
      </c>
      <c r="O7" s="77">
        <f>CF!O28</f>
        <v>83391.141953655839</v>
      </c>
      <c r="P7" s="77">
        <f>CF!P28</f>
        <v>115521.55775916073</v>
      </c>
      <c r="Q7" s="77">
        <f>CF!Q28</f>
        <v>153133.30971036979</v>
      </c>
      <c r="R7" s="77">
        <f>CF!R28</f>
        <v>201132.44922252261</v>
      </c>
      <c r="S7" s="77">
        <f>CF!S28</f>
        <v>252215.18668914156</v>
      </c>
      <c r="T7" s="77">
        <f>CF!T28</f>
        <v>306780.62922896445</v>
      </c>
      <c r="U7" s="77">
        <f>CF!U28</f>
        <v>364243.75259834039</v>
      </c>
      <c r="W7" s="77">
        <f>E7</f>
        <v>8589</v>
      </c>
      <c r="X7" s="77">
        <f>I7</f>
        <v>10605</v>
      </c>
      <c r="Y7" s="77">
        <f>M7</f>
        <v>50366.12336055444</v>
      </c>
      <c r="Z7" s="77">
        <f>Q7</f>
        <v>153133.30971036979</v>
      </c>
      <c r="AA7" s="77">
        <f>U7</f>
        <v>364243.75259834039</v>
      </c>
      <c r="AB7" s="58" t="s">
        <v>1011</v>
      </c>
    </row>
    <row r="8" spans="1:29" ht="15" customHeight="1" x14ac:dyDescent="0.15">
      <c r="A8" s="57" t="s">
        <v>1012</v>
      </c>
      <c r="B8" s="245">
        <f>Raw_Data!B27</f>
        <v>23851</v>
      </c>
      <c r="C8" s="245">
        <f>Raw_Data!C27</f>
        <v>26237</v>
      </c>
      <c r="D8" s="245">
        <f>Raw_Data!D27</f>
        <v>29380</v>
      </c>
      <c r="E8" s="245">
        <f>Raw_Data!E27</f>
        <v>34621</v>
      </c>
      <c r="F8" s="245">
        <f>Raw_Data!F27</f>
        <v>38457</v>
      </c>
      <c r="G8" s="245">
        <f>Raw_Data!G27</f>
        <v>45152</v>
      </c>
      <c r="H8" s="245">
        <f>Raw_Data!H27</f>
        <v>49122</v>
      </c>
      <c r="I8" s="245">
        <f>Raw_Data!I27</f>
        <v>51951</v>
      </c>
      <c r="J8" s="245">
        <f>Raw_Data!J27</f>
        <v>67335</v>
      </c>
      <c r="K8" s="245">
        <f>Raw_Data!K27</f>
        <v>76926</v>
      </c>
      <c r="L8" s="77">
        <f>K8+CF!L37</f>
        <v>82926</v>
      </c>
      <c r="M8" s="77">
        <f>L8+CF!M37</f>
        <v>88926</v>
      </c>
      <c r="N8" s="77">
        <f>M8+CF!N37</f>
        <v>94926</v>
      </c>
      <c r="O8" s="77">
        <f>N8+CF!O37</f>
        <v>100926</v>
      </c>
      <c r="P8" s="77">
        <f>O8+CF!P37</f>
        <v>106926</v>
      </c>
      <c r="Q8" s="77">
        <f>P8+CF!Q37</f>
        <v>112926</v>
      </c>
      <c r="R8" s="77">
        <f>Q8+CF!R37</f>
        <v>118926</v>
      </c>
      <c r="S8" s="77">
        <f>R8+CF!S37</f>
        <v>124926</v>
      </c>
      <c r="T8" s="77">
        <f>S8+CF!T37</f>
        <v>130926</v>
      </c>
      <c r="U8" s="77">
        <f>T8+CF!U37</f>
        <v>136926</v>
      </c>
      <c r="W8" s="77">
        <f>E8</f>
        <v>34621</v>
      </c>
      <c r="X8" s="77">
        <f>I8</f>
        <v>51951</v>
      </c>
      <c r="Y8" s="77">
        <f>M8</f>
        <v>88926</v>
      </c>
      <c r="Z8" s="77">
        <f>Q8</f>
        <v>112926</v>
      </c>
      <c r="AA8" s="77">
        <f>U8</f>
        <v>136926</v>
      </c>
      <c r="AB8" s="58" t="s">
        <v>1013</v>
      </c>
    </row>
    <row r="9" spans="1:29" ht="15" customHeight="1" x14ac:dyDescent="0.15">
      <c r="A9" s="57" t="s">
        <v>1014</v>
      </c>
      <c r="B9" s="245">
        <f>Raw_Data!B28</f>
        <v>12365</v>
      </c>
      <c r="C9" s="245">
        <f>Raw_Data!C28</f>
        <v>14132</v>
      </c>
      <c r="D9" s="245">
        <f>Raw_Data!D28</f>
        <v>17693</v>
      </c>
      <c r="E9" s="245">
        <f>Raw_Data!E28</f>
        <v>23065</v>
      </c>
      <c r="F9" s="245">
        <f>Raw_Data!F28</f>
        <v>22132</v>
      </c>
      <c r="G9" s="245">
        <f>Raw_Data!G28</f>
        <v>27808</v>
      </c>
      <c r="H9" s="245">
        <f>Raw_Data!H28</f>
        <v>33391</v>
      </c>
      <c r="I9" s="245">
        <f>Raw_Data!I28</f>
        <v>38466</v>
      </c>
      <c r="J9" s="245">
        <f>Raw_Data!J28</f>
        <v>40710</v>
      </c>
      <c r="K9" s="245">
        <f>Raw_Data!K28</f>
        <v>63059</v>
      </c>
      <c r="L9" s="77">
        <f>IS!L7/Assumptions!M13*4*Assumptions!M45/365</f>
        <v>72085.758258673974</v>
      </c>
      <c r="M9" s="77">
        <f>IS!M7/Assumptions!N13*4*Assumptions!N45/365</f>
        <v>78394.752171011511</v>
      </c>
      <c r="N9" s="77">
        <f>IS!N7/Assumptions!O13*4*Assumptions!O45/365</f>
        <v>94479.259399157905</v>
      </c>
      <c r="O9" s="77">
        <f>IS!O7/Assumptions!P13*4*Assumptions!P45/365</f>
        <v>108247.55744753726</v>
      </c>
      <c r="P9" s="77">
        <f>IS!P7/Assumptions!Q13*4*Assumptions!Q45/365</f>
        <v>120575.64420938173</v>
      </c>
      <c r="Q9" s="77">
        <f>IS!Q7/Assumptions!R13*4*Assumptions!R45/365</f>
        <v>131300.94914014198</v>
      </c>
      <c r="R9" s="77">
        <f>IS!R7/Assumptions!S13*4*Assumptions!S45/365</f>
        <v>141448.18527712944</v>
      </c>
      <c r="S9" s="77">
        <f>IS!S7/Assumptions!T13*4*Assumptions!T45/365</f>
        <v>149117.8622047753</v>
      </c>
      <c r="T9" s="77">
        <f>IS!T7/Assumptions!U13*4*Assumptions!U45/365</f>
        <v>155427.69804531091</v>
      </c>
      <c r="U9" s="77">
        <f>IS!U7/Assumptions!V13*4*Assumptions!V45/365</f>
        <v>160578.12945667672</v>
      </c>
      <c r="W9" s="77">
        <f>E9</f>
        <v>23065</v>
      </c>
      <c r="X9" s="77">
        <f>I9</f>
        <v>38466</v>
      </c>
      <c r="Y9" s="77">
        <f>M9</f>
        <v>78394.752171011511</v>
      </c>
      <c r="Z9" s="77">
        <f>Q9</f>
        <v>131300.94914014198</v>
      </c>
      <c r="AA9" s="77">
        <f>U9</f>
        <v>160578.12945667672</v>
      </c>
      <c r="AB9" s="58" t="s">
        <v>1015</v>
      </c>
    </row>
    <row r="10" spans="1:29" ht="15" customHeight="1" x14ac:dyDescent="0.15">
      <c r="A10" s="57" t="s">
        <v>1016</v>
      </c>
      <c r="B10" s="245">
        <f>Raw_Data!B29</f>
        <v>5864</v>
      </c>
      <c r="C10" s="245">
        <f>Raw_Data!C29</f>
        <v>6675</v>
      </c>
      <c r="D10" s="245">
        <f>Raw_Data!D29</f>
        <v>7654</v>
      </c>
      <c r="E10" s="245">
        <f>Raw_Data!E29</f>
        <v>10080</v>
      </c>
      <c r="F10" s="245">
        <f>Raw_Data!F29</f>
        <v>11333</v>
      </c>
      <c r="G10" s="245">
        <f>Raw_Data!G29</f>
        <v>14962</v>
      </c>
      <c r="H10" s="245">
        <f>Raw_Data!H29</f>
        <v>19784</v>
      </c>
      <c r="I10" s="245">
        <f>Raw_Data!I29</f>
        <v>21403</v>
      </c>
      <c r="J10" s="245">
        <f>Raw_Data!J29</f>
        <v>25797</v>
      </c>
      <c r="K10" s="245">
        <f>Raw_Data!K29</f>
        <v>31575</v>
      </c>
      <c r="L10" s="77">
        <f>-IS!L8/Assumptions!M13*4*Assumptions!M46/365</f>
        <v>37484.594294510469</v>
      </c>
      <c r="M10" s="77">
        <f>-IS!M8/Assumptions!N13*4*Assumptions!N46/365</f>
        <v>44685.008737476564</v>
      </c>
      <c r="N10" s="77">
        <f>-IS!N8/Assumptions!O13*4*Assumptions!O46/365</f>
        <v>52908.385263528442</v>
      </c>
      <c r="O10" s="77">
        <f>-IS!O8/Assumptions!P13*4*Assumptions!P46/365</f>
        <v>59752.651711040569</v>
      </c>
      <c r="P10" s="77">
        <f>-IS!P8/Assumptions!Q13*4*Assumptions!Q46/365</f>
        <v>65834.301738322436</v>
      </c>
      <c r="Q10" s="77">
        <f>-IS!Q8/Assumptions!R13*4*Assumptions!R46/365</f>
        <v>71165.114433956958</v>
      </c>
      <c r="R10" s="77">
        <f>-IS!R8/Assumptions!S13*4*Assumptions!S46/365</f>
        <v>73470.544902695648</v>
      </c>
      <c r="S10" s="77">
        <f>-IS!S8/Assumptions!T13*4*Assumptions!T46/365</f>
        <v>77454.302926863704</v>
      </c>
      <c r="T10" s="77">
        <f>-IS!T8/Assumptions!U13*4*Assumptions!U46/365</f>
        <v>80731.736826368578</v>
      </c>
      <c r="U10" s="77">
        <f>-IS!U8/Assumptions!V13*4*Assumptions!V46/365</f>
        <v>83406.95674195551</v>
      </c>
      <c r="W10" s="77">
        <f>E10</f>
        <v>10080</v>
      </c>
      <c r="X10" s="77">
        <f>I10</f>
        <v>21403</v>
      </c>
      <c r="Y10" s="77">
        <f>M10</f>
        <v>44685.008737476564</v>
      </c>
      <c r="Z10" s="77">
        <f>Q10</f>
        <v>71165.114433956958</v>
      </c>
      <c r="AA10" s="77">
        <f>U10</f>
        <v>83406.95674195551</v>
      </c>
      <c r="AB10" s="58" t="s">
        <v>1017</v>
      </c>
    </row>
    <row r="11" spans="1:29" ht="15" customHeight="1" x14ac:dyDescent="0.15">
      <c r="A11" s="256" t="s">
        <v>1018</v>
      </c>
      <c r="B11" s="257">
        <f>Raw_Data!B30</f>
        <v>4062</v>
      </c>
      <c r="C11" s="257">
        <f>Raw_Data!C30</f>
        <v>4026</v>
      </c>
      <c r="D11" s="257">
        <f>Raw_Data!D30</f>
        <v>3806</v>
      </c>
      <c r="E11" s="257">
        <f>Raw_Data!E30</f>
        <v>3771</v>
      </c>
      <c r="F11" s="257">
        <f>Raw_Data!F30</f>
        <v>2779</v>
      </c>
      <c r="G11" s="257">
        <f>Raw_Data!G30</f>
        <v>2658</v>
      </c>
      <c r="H11" s="257">
        <f>Raw_Data!H30</f>
        <v>2709</v>
      </c>
      <c r="I11" s="257">
        <f>Raw_Data!I30</f>
        <v>3180</v>
      </c>
      <c r="J11" s="257">
        <f>Raw_Data!J30</f>
        <v>3916</v>
      </c>
      <c r="K11" s="257">
        <f>Raw_Data!K30</f>
        <v>3409</v>
      </c>
      <c r="L11" s="258">
        <f>IS!L7/Assumptions!M13*Assumptions!M48</f>
        <v>3837.064840644</v>
      </c>
      <c r="M11" s="258">
        <f>IS!M7/Assumptions!N13*Assumptions!N48</f>
        <v>4172.8873291028003</v>
      </c>
      <c r="N11" s="258">
        <f>IS!N7/Assumptions!O13*Assumptions!O48</f>
        <v>5029.0522451010102</v>
      </c>
      <c r="O11" s="258">
        <f>IS!O7/Assumptions!P13*Assumptions!P48</f>
        <v>5761.9272766345357</v>
      </c>
      <c r="P11" s="258">
        <f>IS!P7/Assumptions!Q13*Assumptions!Q48</f>
        <v>6418.1410615618825</v>
      </c>
      <c r="Q11" s="258">
        <f>IS!Q7/Assumptions!R13*Assumptions!R48</f>
        <v>6989.0401052721418</v>
      </c>
      <c r="R11" s="258">
        <f>IS!R7/Assumptions!S13*Assumptions!S48</f>
        <v>7529.1690288138689</v>
      </c>
      <c r="S11" s="258">
        <f>IS!S7/Assumptions!T13*Assumptions!T48</f>
        <v>7937.4195402750192</v>
      </c>
      <c r="T11" s="258">
        <f>IS!T7/Assumptions!U13*Assumptions!U48</f>
        <v>8273.2868438701971</v>
      </c>
      <c r="U11" s="258">
        <f>IS!U7/Assumptions!V13*Assumptions!V48</f>
        <v>8547.4400158710214</v>
      </c>
      <c r="W11" s="258">
        <f>E11</f>
        <v>3771</v>
      </c>
      <c r="X11" s="258">
        <f>I11</f>
        <v>3180</v>
      </c>
      <c r="Y11" s="258">
        <f>M11</f>
        <v>4172.8873291028003</v>
      </c>
      <c r="Z11" s="258">
        <f>Q11</f>
        <v>6989.0401052721418</v>
      </c>
      <c r="AA11" s="258">
        <f>U11</f>
        <v>8547.4400158710214</v>
      </c>
    </row>
    <row r="12" spans="1:29" ht="15" customHeight="1" x14ac:dyDescent="0.15">
      <c r="A12" s="56" t="s">
        <v>1019</v>
      </c>
      <c r="B12" s="260">
        <f t="shared" ref="B12:U12" si="0">SUM(B7:B11)</f>
        <v>53729</v>
      </c>
      <c r="C12" s="260">
        <f t="shared" si="0"/>
        <v>59633</v>
      </c>
      <c r="D12" s="260">
        <f t="shared" si="0"/>
        <v>67640</v>
      </c>
      <c r="E12" s="260">
        <f t="shared" si="0"/>
        <v>80126</v>
      </c>
      <c r="F12" s="260">
        <f t="shared" si="0"/>
        <v>89935</v>
      </c>
      <c r="G12" s="260">
        <f t="shared" si="0"/>
        <v>102219</v>
      </c>
      <c r="H12" s="260">
        <f t="shared" si="0"/>
        <v>116492</v>
      </c>
      <c r="I12" s="260">
        <f t="shared" si="0"/>
        <v>125605</v>
      </c>
      <c r="J12" s="260">
        <f t="shared" si="0"/>
        <v>150995</v>
      </c>
      <c r="K12" s="260">
        <f t="shared" si="0"/>
        <v>197412</v>
      </c>
      <c r="L12" s="260">
        <f t="shared" si="0"/>
        <v>231434.2143451958</v>
      </c>
      <c r="M12" s="260">
        <f t="shared" si="0"/>
        <v>266544.77159814531</v>
      </c>
      <c r="N12" s="260">
        <f t="shared" si="0"/>
        <v>316588.86647602147</v>
      </c>
      <c r="O12" s="260">
        <f t="shared" si="0"/>
        <v>358079.2783888682</v>
      </c>
      <c r="P12" s="260">
        <f t="shared" si="0"/>
        <v>415275.64476842678</v>
      </c>
      <c r="Q12" s="260">
        <f t="shared" si="0"/>
        <v>475514.41338974086</v>
      </c>
      <c r="R12" s="260">
        <f t="shared" si="0"/>
        <v>542506.3484311616</v>
      </c>
      <c r="S12" s="260">
        <f t="shared" si="0"/>
        <v>611650.77136105555</v>
      </c>
      <c r="T12" s="260">
        <f t="shared" si="0"/>
        <v>682139.35094451415</v>
      </c>
      <c r="U12" s="260">
        <f t="shared" si="0"/>
        <v>753702.27881284372</v>
      </c>
      <c r="V12" s="56"/>
      <c r="W12" s="260">
        <f>SUM(W7:W11)</f>
        <v>80126</v>
      </c>
      <c r="X12" s="260">
        <f>SUM(X7:X11)</f>
        <v>125605</v>
      </c>
      <c r="Y12" s="260">
        <f>SUM(Y7:Y11)</f>
        <v>266544.77159814531</v>
      </c>
      <c r="Z12" s="260">
        <f>SUM(Z7:Z11)</f>
        <v>475514.41338974086</v>
      </c>
      <c r="AA12" s="260">
        <f>SUM(AA7:AA11)</f>
        <v>753702.27881284372</v>
      </c>
      <c r="AB12" s="262"/>
      <c r="AC12" s="262"/>
    </row>
    <row r="13" spans="1:29" ht="15" customHeight="1" x14ac:dyDescent="0.15">
      <c r="A13" s="57" t="s">
        <v>1020</v>
      </c>
      <c r="B13" s="245">
        <f>Raw_Data!B32</f>
        <v>4006</v>
      </c>
      <c r="C13" s="245">
        <f>Raw_Data!C32</f>
        <v>4885</v>
      </c>
      <c r="D13" s="245">
        <f>Raw_Data!D32</f>
        <v>5343</v>
      </c>
      <c r="E13" s="245">
        <f>Raw_Data!E32</f>
        <v>6283</v>
      </c>
      <c r="F13" s="245">
        <f>Raw_Data!F32</f>
        <v>7136</v>
      </c>
      <c r="G13" s="245">
        <f>Raw_Data!G32</f>
        <v>9141</v>
      </c>
      <c r="H13" s="245">
        <f>Raw_Data!H32</f>
        <v>9780</v>
      </c>
      <c r="I13" s="245">
        <f>Raw_Data!I32</f>
        <v>10383</v>
      </c>
      <c r="J13" s="245">
        <f>Raw_Data!J32</f>
        <v>12403</v>
      </c>
      <c r="K13" s="245">
        <f>Raw_Data!K32</f>
        <v>14285</v>
      </c>
      <c r="L13" s="77">
        <f>K13+CF!L33-CF!L35</f>
        <v>16408.262720551997</v>
      </c>
      <c r="M13" s="77">
        <f>L13+CF!M33-CF!M35</f>
        <v>18628.279643504717</v>
      </c>
      <c r="N13" s="77">
        <f>M13+CF!N33-CF!N35</f>
        <v>21382.350685675872</v>
      </c>
      <c r="O13" s="77">
        <f>N13+CF!O33-CF!O35</f>
        <v>24516.733932508931</v>
      </c>
      <c r="P13" s="77">
        <f>O13+CF!P33-CF!P35</f>
        <v>27931.491645636168</v>
      </c>
      <c r="Q13" s="77">
        <f>P13+CF!Q33-CF!Q35</f>
        <v>31528.263202047892</v>
      </c>
      <c r="R13" s="77">
        <f>Q13+CF!R33-CF!R35</f>
        <v>35264.292967132613</v>
      </c>
      <c r="S13" s="77">
        <f>R13+CF!S33-CF!S35</f>
        <v>39014.009063183556</v>
      </c>
      <c r="T13" s="77">
        <f>S13+CF!T33-CF!T35</f>
        <v>42714.136970814347</v>
      </c>
      <c r="U13" s="77">
        <f>T13+CF!U33-CF!U35</f>
        <v>46316.241799901931</v>
      </c>
      <c r="W13" s="77">
        <f t="shared" ref="W13:W18" si="1">E13</f>
        <v>6283</v>
      </c>
      <c r="X13" s="77">
        <f t="shared" ref="X13:X18" si="2">I13</f>
        <v>10383</v>
      </c>
      <c r="Y13" s="77">
        <f t="shared" ref="Y13:Y18" si="3">M13</f>
        <v>18628.279643504717</v>
      </c>
      <c r="Z13" s="77">
        <f t="shared" ref="Z13:Z18" si="4">Q13</f>
        <v>31528.263202047892</v>
      </c>
      <c r="AA13" s="77">
        <f t="shared" ref="AA13:AA18" si="5">U13</f>
        <v>46316.241799901931</v>
      </c>
      <c r="AB13" s="58" t="s">
        <v>1021</v>
      </c>
    </row>
    <row r="14" spans="1:29" ht="15" customHeight="1" x14ac:dyDescent="0.15">
      <c r="A14" s="57" t="s">
        <v>1022</v>
      </c>
      <c r="B14" s="245">
        <f>Raw_Data!B33</f>
        <v>1532</v>
      </c>
      <c r="C14" s="245">
        <f>Raw_Data!C33</f>
        <v>1556</v>
      </c>
      <c r="D14" s="245">
        <f>Raw_Data!D33</f>
        <v>1755</v>
      </c>
      <c r="E14" s="245">
        <f>Raw_Data!E33</f>
        <v>1793</v>
      </c>
      <c r="F14" s="245">
        <f>Raw_Data!F33</f>
        <v>1810</v>
      </c>
      <c r="G14" s="245">
        <f>Raw_Data!G33</f>
        <v>2084</v>
      </c>
      <c r="H14" s="245">
        <f>Raw_Data!H33</f>
        <v>2281</v>
      </c>
      <c r="I14" s="245">
        <f>Raw_Data!I33</f>
        <v>2867</v>
      </c>
      <c r="J14" s="245">
        <f>Raw_Data!J33</f>
        <v>4258</v>
      </c>
      <c r="K14" s="245">
        <f>Raw_Data!K33</f>
        <v>5390</v>
      </c>
      <c r="L14" s="77">
        <f t="shared" ref="L14:U14" si="6">K14</f>
        <v>5390</v>
      </c>
      <c r="M14" s="77">
        <f t="shared" si="6"/>
        <v>5390</v>
      </c>
      <c r="N14" s="77">
        <f t="shared" si="6"/>
        <v>5390</v>
      </c>
      <c r="O14" s="77">
        <f t="shared" si="6"/>
        <v>5390</v>
      </c>
      <c r="P14" s="77">
        <f t="shared" si="6"/>
        <v>5390</v>
      </c>
      <c r="Q14" s="77">
        <f t="shared" si="6"/>
        <v>5390</v>
      </c>
      <c r="R14" s="77">
        <f t="shared" si="6"/>
        <v>5390</v>
      </c>
      <c r="S14" s="77">
        <f t="shared" si="6"/>
        <v>5390</v>
      </c>
      <c r="T14" s="77">
        <f t="shared" si="6"/>
        <v>5390</v>
      </c>
      <c r="U14" s="77">
        <f t="shared" si="6"/>
        <v>5390</v>
      </c>
      <c r="W14" s="77">
        <f t="shared" si="1"/>
        <v>1793</v>
      </c>
      <c r="X14" s="77">
        <f t="shared" si="2"/>
        <v>2867</v>
      </c>
      <c r="Y14" s="77">
        <f t="shared" si="3"/>
        <v>5390</v>
      </c>
      <c r="Z14" s="77">
        <f t="shared" si="4"/>
        <v>5390</v>
      </c>
      <c r="AA14" s="77">
        <f t="shared" si="5"/>
        <v>5390</v>
      </c>
      <c r="AB14" s="58" t="s">
        <v>1023</v>
      </c>
    </row>
    <row r="15" spans="1:29" ht="15" customHeight="1" x14ac:dyDescent="0.15">
      <c r="A15" s="57" t="s">
        <v>1024</v>
      </c>
      <c r="B15" s="245">
        <f>Raw_Data!B34</f>
        <v>4453</v>
      </c>
      <c r="C15" s="245">
        <f>Raw_Data!C34</f>
        <v>4622</v>
      </c>
      <c r="D15" s="245">
        <f>Raw_Data!D34</f>
        <v>4724</v>
      </c>
      <c r="E15" s="245">
        <f>Raw_Data!E34</f>
        <v>5188</v>
      </c>
      <c r="F15" s="245">
        <f>Raw_Data!F34</f>
        <v>5498</v>
      </c>
      <c r="G15" s="245">
        <f>Raw_Data!G34</f>
        <v>5755</v>
      </c>
      <c r="H15" s="245">
        <f>Raw_Data!H34</f>
        <v>6261</v>
      </c>
      <c r="I15" s="245">
        <f>Raw_Data!I34</f>
        <v>20832</v>
      </c>
      <c r="J15" s="245">
        <f>Raw_Data!J34</f>
        <v>20894</v>
      </c>
      <c r="K15" s="245">
        <f>Raw_Data!K34</f>
        <v>21125</v>
      </c>
      <c r="L15" s="77">
        <f>K15+CF!L39</f>
        <v>21125</v>
      </c>
      <c r="M15" s="77">
        <f>L15+CF!M39</f>
        <v>21125</v>
      </c>
      <c r="N15" s="77">
        <f>M15+CF!N39</f>
        <v>21125</v>
      </c>
      <c r="O15" s="77">
        <f>N15+CF!O39</f>
        <v>33025</v>
      </c>
      <c r="P15" s="77">
        <f>O15+CF!P39</f>
        <v>33025</v>
      </c>
      <c r="Q15" s="77">
        <f>P15+CF!Q39</f>
        <v>33025</v>
      </c>
      <c r="R15" s="77">
        <f>Q15+CF!R39</f>
        <v>33025</v>
      </c>
      <c r="S15" s="77">
        <f>R15+CF!S39</f>
        <v>33025</v>
      </c>
      <c r="T15" s="77">
        <f>S15+CF!T39</f>
        <v>33025</v>
      </c>
      <c r="U15" s="77">
        <f>T15+CF!U39</f>
        <v>33025</v>
      </c>
      <c r="W15" s="77">
        <f t="shared" si="1"/>
        <v>5188</v>
      </c>
      <c r="X15" s="77">
        <f t="shared" si="2"/>
        <v>20832</v>
      </c>
      <c r="Y15" s="77">
        <f t="shared" si="3"/>
        <v>21125</v>
      </c>
      <c r="Z15" s="77">
        <f t="shared" si="4"/>
        <v>33025</v>
      </c>
      <c r="AA15" s="77">
        <f t="shared" si="5"/>
        <v>33025</v>
      </c>
      <c r="AB15" s="58" t="s">
        <v>1025</v>
      </c>
    </row>
    <row r="16" spans="1:29" ht="15" customHeight="1" x14ac:dyDescent="0.15">
      <c r="A16" s="57" t="s">
        <v>1026</v>
      </c>
      <c r="B16" s="245">
        <f>Raw_Data!B35</f>
        <v>986</v>
      </c>
      <c r="C16" s="245">
        <f>Raw_Data!C35</f>
        <v>952</v>
      </c>
      <c r="D16" s="245">
        <f>Raw_Data!D35</f>
        <v>838</v>
      </c>
      <c r="E16" s="245">
        <f>Raw_Data!E35</f>
        <v>807</v>
      </c>
      <c r="F16" s="245">
        <f>Raw_Data!F35</f>
        <v>769</v>
      </c>
      <c r="G16" s="245">
        <f>Raw_Data!G35</f>
        <v>755</v>
      </c>
      <c r="H16" s="245">
        <f>Raw_Data!H35</f>
        <v>936</v>
      </c>
      <c r="I16" s="245">
        <f>Raw_Data!I35</f>
        <v>3306</v>
      </c>
      <c r="J16" s="245">
        <f>Raw_Data!J35</f>
        <v>3120</v>
      </c>
      <c r="K16" s="245">
        <f>Raw_Data!K35</f>
        <v>2998</v>
      </c>
      <c r="L16" s="77">
        <f>MAX(0,K16+CF!L34-CF!L36)</f>
        <v>2928</v>
      </c>
      <c r="M16" s="77">
        <f>MAX(0,L16+CF!M34-CF!M36)</f>
        <v>2858</v>
      </c>
      <c r="N16" s="77">
        <f>MAX(0,M16+CF!N34-CF!N36)</f>
        <v>2788</v>
      </c>
      <c r="O16" s="77">
        <f>MAX(0,N16+CF!O34-CF!O36)</f>
        <v>2718</v>
      </c>
      <c r="P16" s="77">
        <f>MAX(0,O16+CF!P34-CF!P36)</f>
        <v>2648</v>
      </c>
      <c r="Q16" s="77">
        <f>MAX(0,P16+CF!Q34-CF!Q36)</f>
        <v>2578</v>
      </c>
      <c r="R16" s="77">
        <f>MAX(0,Q16+CF!R34-CF!R36)</f>
        <v>2508</v>
      </c>
      <c r="S16" s="77">
        <f>MAX(0,R16+CF!S34-CF!S36)</f>
        <v>2438</v>
      </c>
      <c r="T16" s="77">
        <f>MAX(0,S16+CF!T34-CF!T36)</f>
        <v>2368</v>
      </c>
      <c r="U16" s="77">
        <f>MAX(0,T16+CF!U34-CF!U36)</f>
        <v>2298</v>
      </c>
      <c r="W16" s="77">
        <f t="shared" si="1"/>
        <v>807</v>
      </c>
      <c r="X16" s="77">
        <f t="shared" si="2"/>
        <v>3306</v>
      </c>
      <c r="Y16" s="77">
        <f t="shared" si="3"/>
        <v>2858</v>
      </c>
      <c r="Z16" s="77">
        <f t="shared" si="4"/>
        <v>2578</v>
      </c>
      <c r="AA16" s="77">
        <f t="shared" si="5"/>
        <v>2298</v>
      </c>
      <c r="AB16" s="58" t="s">
        <v>1027</v>
      </c>
    </row>
    <row r="17" spans="1:29" ht="15" customHeight="1" x14ac:dyDescent="0.15">
      <c r="A17" s="57" t="s">
        <v>1028</v>
      </c>
      <c r="B17" s="245">
        <f>Raw_Data!B36</f>
        <v>7798</v>
      </c>
      <c r="C17" s="245">
        <f>Raw_Data!C36</f>
        <v>9578</v>
      </c>
      <c r="D17" s="245">
        <f>Raw_Data!D36</f>
        <v>10276</v>
      </c>
      <c r="E17" s="245">
        <f>Raw_Data!E36</f>
        <v>10979</v>
      </c>
      <c r="F17" s="245">
        <f>Raw_Data!F36</f>
        <v>13318</v>
      </c>
      <c r="G17" s="245">
        <f>Raw_Data!G36</f>
        <v>13570</v>
      </c>
      <c r="H17" s="245">
        <f>Raw_Data!H36</f>
        <v>13674</v>
      </c>
      <c r="I17" s="245">
        <f>Raw_Data!I36</f>
        <v>13258</v>
      </c>
      <c r="J17" s="245">
        <f>Raw_Data!J36</f>
        <v>11707</v>
      </c>
      <c r="K17" s="245">
        <f>Raw_Data!K36</f>
        <v>12159</v>
      </c>
      <c r="L17" s="77">
        <f t="shared" ref="L17:U17" si="7">K17</f>
        <v>12159</v>
      </c>
      <c r="M17" s="77">
        <f t="shared" si="7"/>
        <v>12159</v>
      </c>
      <c r="N17" s="77">
        <f t="shared" si="7"/>
        <v>12159</v>
      </c>
      <c r="O17" s="77">
        <f t="shared" si="7"/>
        <v>12159</v>
      </c>
      <c r="P17" s="77">
        <f t="shared" si="7"/>
        <v>12159</v>
      </c>
      <c r="Q17" s="77">
        <f t="shared" si="7"/>
        <v>12159</v>
      </c>
      <c r="R17" s="77">
        <f t="shared" si="7"/>
        <v>12159</v>
      </c>
      <c r="S17" s="77">
        <f t="shared" si="7"/>
        <v>12159</v>
      </c>
      <c r="T17" s="77">
        <f t="shared" si="7"/>
        <v>12159</v>
      </c>
      <c r="U17" s="77">
        <f t="shared" si="7"/>
        <v>12159</v>
      </c>
      <c r="W17" s="77">
        <f t="shared" si="1"/>
        <v>10979</v>
      </c>
      <c r="X17" s="77">
        <f t="shared" si="2"/>
        <v>13258</v>
      </c>
      <c r="Y17" s="77">
        <f t="shared" si="3"/>
        <v>12159</v>
      </c>
      <c r="Z17" s="77">
        <f t="shared" si="4"/>
        <v>12159</v>
      </c>
      <c r="AA17" s="77">
        <f t="shared" si="5"/>
        <v>12159</v>
      </c>
      <c r="AB17" s="58" t="s">
        <v>1029</v>
      </c>
    </row>
    <row r="18" spans="1:29" ht="15" customHeight="1" x14ac:dyDescent="0.15">
      <c r="A18" s="256" t="s">
        <v>1030</v>
      </c>
      <c r="B18" s="257">
        <f>Raw_Data!B37</f>
        <v>4568</v>
      </c>
      <c r="C18" s="257">
        <f>Raw_Data!C37</f>
        <v>4001</v>
      </c>
      <c r="D18" s="257">
        <f>Raw_Data!D37</f>
        <v>5437</v>
      </c>
      <c r="E18" s="257">
        <f>Raw_Data!E37</f>
        <v>6425</v>
      </c>
      <c r="F18" s="257">
        <f>Raw_Data!F37</f>
        <v>6788</v>
      </c>
      <c r="G18" s="257">
        <f>Raw_Data!G37</f>
        <v>7216</v>
      </c>
      <c r="H18" s="257">
        <f>Raw_Data!H37</f>
        <v>11724</v>
      </c>
      <c r="I18" s="257">
        <f>Raw_Data!I37</f>
        <v>30552</v>
      </c>
      <c r="J18" s="257">
        <f>Raw_Data!J37</f>
        <v>56097</v>
      </c>
      <c r="K18" s="257">
        <f>Raw_Data!K37</f>
        <v>66903</v>
      </c>
      <c r="L18" s="258">
        <f>K18+CF!L38</f>
        <v>71069.666666666672</v>
      </c>
      <c r="M18" s="258">
        <f>L18+CF!M38</f>
        <v>75236.333333333343</v>
      </c>
      <c r="N18" s="258">
        <f>M18+CF!N38</f>
        <v>79403.000000000015</v>
      </c>
      <c r="O18" s="258">
        <f>N18+CF!O38</f>
        <v>83569.666666666686</v>
      </c>
      <c r="P18" s="258">
        <f>O18+CF!P38</f>
        <v>87736.333333333358</v>
      </c>
      <c r="Q18" s="258">
        <f>P18+CF!Q38</f>
        <v>91903.000000000029</v>
      </c>
      <c r="R18" s="258">
        <f>Q18+CF!R38</f>
        <v>91903.000000000029</v>
      </c>
      <c r="S18" s="258">
        <f>R18+CF!S38</f>
        <v>91903.000000000029</v>
      </c>
      <c r="T18" s="258">
        <f>S18+CF!T38</f>
        <v>91903.000000000029</v>
      </c>
      <c r="U18" s="258">
        <f>T18+CF!U38</f>
        <v>91903.000000000029</v>
      </c>
      <c r="W18" s="258">
        <f t="shared" si="1"/>
        <v>6425</v>
      </c>
      <c r="X18" s="258">
        <f t="shared" si="2"/>
        <v>30552</v>
      </c>
      <c r="Y18" s="258">
        <f t="shared" si="3"/>
        <v>75236.333333333343</v>
      </c>
      <c r="Z18" s="258">
        <f t="shared" si="4"/>
        <v>91903.000000000029</v>
      </c>
      <c r="AA18" s="258">
        <f t="shared" si="5"/>
        <v>91903.000000000029</v>
      </c>
      <c r="AB18" s="58" t="s">
        <v>1031</v>
      </c>
    </row>
    <row r="19" spans="1:29" ht="15" customHeight="1" x14ac:dyDescent="0.15">
      <c r="A19" s="56" t="s">
        <v>1032</v>
      </c>
      <c r="B19" s="260">
        <f t="shared" ref="B19:U19" si="8">B12+B13+B14+B15+B16+B17+B18</f>
        <v>77072</v>
      </c>
      <c r="C19" s="260">
        <f t="shared" si="8"/>
        <v>85227</v>
      </c>
      <c r="D19" s="260">
        <f t="shared" si="8"/>
        <v>96013</v>
      </c>
      <c r="E19" s="260">
        <f t="shared" si="8"/>
        <v>111601</v>
      </c>
      <c r="F19" s="260">
        <f t="shared" si="8"/>
        <v>125254</v>
      </c>
      <c r="G19" s="260">
        <f t="shared" si="8"/>
        <v>140740</v>
      </c>
      <c r="H19" s="260">
        <f t="shared" si="8"/>
        <v>161148</v>
      </c>
      <c r="I19" s="260">
        <f t="shared" si="8"/>
        <v>206803</v>
      </c>
      <c r="J19" s="260">
        <f t="shared" si="8"/>
        <v>259474</v>
      </c>
      <c r="K19" s="260">
        <f t="shared" si="8"/>
        <v>320272</v>
      </c>
      <c r="L19" s="260">
        <f t="shared" si="8"/>
        <v>360514.14373241446</v>
      </c>
      <c r="M19" s="260">
        <f t="shared" si="8"/>
        <v>401941.38457498339</v>
      </c>
      <c r="N19" s="260">
        <f t="shared" si="8"/>
        <v>458836.21716169734</v>
      </c>
      <c r="O19" s="260">
        <f t="shared" si="8"/>
        <v>519457.6789880438</v>
      </c>
      <c r="P19" s="260">
        <f t="shared" si="8"/>
        <v>584165.4697473963</v>
      </c>
      <c r="Q19" s="260">
        <f t="shared" si="8"/>
        <v>652097.67659178877</v>
      </c>
      <c r="R19" s="260">
        <f t="shared" si="8"/>
        <v>722755.64139829425</v>
      </c>
      <c r="S19" s="260">
        <f t="shared" si="8"/>
        <v>795579.78042423911</v>
      </c>
      <c r="T19" s="260">
        <f t="shared" si="8"/>
        <v>869698.48791532847</v>
      </c>
      <c r="U19" s="260">
        <f t="shared" si="8"/>
        <v>944793.52061274566</v>
      </c>
      <c r="V19" s="56"/>
      <c r="W19" s="260">
        <f>W12+W13+W14+W15+W16+W17+W18</f>
        <v>111601</v>
      </c>
      <c r="X19" s="260">
        <f>X12+X13+X14+X15+X16+X17+X18</f>
        <v>206803</v>
      </c>
      <c r="Y19" s="260">
        <f>Y12+Y13+Y14+Y15+Y16+Y17+Y18</f>
        <v>401941.38457498339</v>
      </c>
      <c r="Z19" s="260">
        <f>Z12+Z13+Z14+Z15+Z16+Z17+Z18</f>
        <v>652097.67659178877</v>
      </c>
      <c r="AA19" s="260">
        <f>AA12+AA13+AA14+AA15+AA16+AA17+AA18</f>
        <v>944793.52061274566</v>
      </c>
      <c r="AB19" s="262"/>
      <c r="AC19" s="262"/>
    </row>
    <row r="21" spans="1:29" ht="15" customHeight="1" x14ac:dyDescent="0.15">
      <c r="A21" s="57" t="s">
        <v>1033</v>
      </c>
      <c r="B21" s="245">
        <f>Raw_Data!B39</f>
        <v>2715</v>
      </c>
      <c r="C21" s="245">
        <f>Raw_Data!C39</f>
        <v>3680</v>
      </c>
      <c r="D21" s="245">
        <f>Raw_Data!D39</f>
        <v>5353</v>
      </c>
      <c r="E21" s="245">
        <f>Raw_Data!E39</f>
        <v>6310</v>
      </c>
      <c r="F21" s="245">
        <f>Raw_Data!F39</f>
        <v>7331</v>
      </c>
      <c r="G21" s="245">
        <f>Raw_Data!G39</f>
        <v>9064</v>
      </c>
      <c r="H21" s="245">
        <f>Raw_Data!H39</f>
        <v>8624</v>
      </c>
      <c r="I21" s="245">
        <f>Raw_Data!I39</f>
        <v>9812</v>
      </c>
      <c r="J21" s="245">
        <f>Raw_Data!J39</f>
        <v>13097</v>
      </c>
      <c r="K21" s="245">
        <f>Raw_Data!K39</f>
        <v>15059</v>
      </c>
      <c r="L21" s="77">
        <f>-IS!L8/Assumptions!M13*4*Assumptions!M47/365</f>
        <v>17180.439051650628</v>
      </c>
      <c r="M21" s="77">
        <f>-IS!M8/Assumptions!N13*4*Assumptions!N47/365</f>
        <v>20480.629004676761</v>
      </c>
      <c r="N21" s="77">
        <f>-IS!N8/Assumptions!O13*4*Assumptions!O47/365</f>
        <v>24249.676579117197</v>
      </c>
      <c r="O21" s="77">
        <f>-IS!O8/Assumptions!P13*4*Assumptions!P47/365</f>
        <v>27386.632034226932</v>
      </c>
      <c r="P21" s="77">
        <f>-IS!P8/Assumptions!Q13*4*Assumptions!Q47/365</f>
        <v>30174.054963397779</v>
      </c>
      <c r="Q21" s="77">
        <f>-IS!Q8/Assumptions!R13*4*Assumptions!R47/365</f>
        <v>32617.344115563603</v>
      </c>
      <c r="R21" s="77">
        <f>-IS!R8/Assumptions!S13*4*Assumptions!S47/365</f>
        <v>35138.08669259357</v>
      </c>
      <c r="S21" s="77">
        <f>-IS!S8/Assumptions!T13*4*Assumptions!T47/365</f>
        <v>37043.362269369602</v>
      </c>
      <c r="T21" s="77">
        <f>-IS!T8/Assumptions!U13*4*Assumptions!U47/365</f>
        <v>38610.830656089325</v>
      </c>
      <c r="U21" s="77">
        <f>-IS!U8/Assumptions!V13*4*Assumptions!V47/365</f>
        <v>39890.283659196117</v>
      </c>
      <c r="W21" s="77">
        <f>E21</f>
        <v>6310</v>
      </c>
      <c r="X21" s="77">
        <f>I21</f>
        <v>9812</v>
      </c>
      <c r="Y21" s="77">
        <f>M21</f>
        <v>20480.629004676761</v>
      </c>
      <c r="Z21" s="77">
        <f>Q21</f>
        <v>32617.344115563603</v>
      </c>
      <c r="AA21" s="77">
        <f>U21</f>
        <v>39890.283659196117</v>
      </c>
      <c r="AB21" s="58" t="s">
        <v>1034</v>
      </c>
    </row>
    <row r="22" spans="1:29" ht="15" customHeight="1" x14ac:dyDescent="0.15">
      <c r="A22" s="57" t="s">
        <v>1035</v>
      </c>
      <c r="B22" s="245">
        <f>Raw_Data!B40</f>
        <v>11258</v>
      </c>
      <c r="C22" s="245">
        <f>Raw_Data!C40</f>
        <v>10289</v>
      </c>
      <c r="D22" s="245">
        <f>Raw_Data!D40</f>
        <v>11126</v>
      </c>
      <c r="E22" s="245">
        <f>Raw_Data!E40</f>
        <v>11737</v>
      </c>
      <c r="F22" s="245">
        <f>Raw_Data!F40</f>
        <v>19211</v>
      </c>
      <c r="G22" s="245">
        <f>Raw_Data!G40</f>
        <v>15193</v>
      </c>
      <c r="H22" s="245">
        <f>Raw_Data!H40</f>
        <v>16452</v>
      </c>
      <c r="I22" s="245">
        <f>Raw_Data!I40</f>
        <v>21352</v>
      </c>
      <c r="J22" s="245">
        <f>Raw_Data!J40</f>
        <v>29787</v>
      </c>
      <c r="K22" s="245">
        <f>Raw_Data!K40</f>
        <v>26960</v>
      </c>
      <c r="L22" s="77">
        <f>IS!L7/Assumptions!M13*Assumptions!M49</f>
        <v>30696.518725152</v>
      </c>
      <c r="M22" s="77">
        <f>IS!M7/Assumptions!N13*Assumptions!N49</f>
        <v>33383.098632822403</v>
      </c>
      <c r="N22" s="77">
        <f>IS!N7/Assumptions!O13*Assumptions!O49</f>
        <v>40232.417960808081</v>
      </c>
      <c r="O22" s="77">
        <f>IS!O7/Assumptions!P13*Assumptions!P49</f>
        <v>46095.418213076286</v>
      </c>
      <c r="P22" s="77">
        <f>IS!P7/Assumptions!Q13*Assumptions!Q49</f>
        <v>51345.12849249506</v>
      </c>
      <c r="Q22" s="77">
        <f>IS!Q7/Assumptions!R13*Assumptions!R49</f>
        <v>55912.320842177134</v>
      </c>
      <c r="R22" s="77">
        <f>IS!R7/Assumptions!S13*Assumptions!S49</f>
        <v>60233.352230510951</v>
      </c>
      <c r="S22" s="77">
        <f>IS!S7/Assumptions!T13*Assumptions!T49</f>
        <v>63499.356322200154</v>
      </c>
      <c r="T22" s="77">
        <f>IS!T7/Assumptions!U13*Assumptions!U49</f>
        <v>66186.294750961577</v>
      </c>
      <c r="U22" s="77">
        <f>IS!U7/Assumptions!V13*Assumptions!V49</f>
        <v>68379.520126968171</v>
      </c>
      <c r="W22" s="77">
        <f>E22</f>
        <v>11737</v>
      </c>
      <c r="X22" s="77">
        <f>I22</f>
        <v>21352</v>
      </c>
      <c r="Y22" s="77">
        <f>M22</f>
        <v>33383.098632822403</v>
      </c>
      <c r="Z22" s="77">
        <f>Q22</f>
        <v>55912.320842177134</v>
      </c>
      <c r="AA22" s="77">
        <f>U22</f>
        <v>68379.520126968171</v>
      </c>
    </row>
    <row r="23" spans="1:29" ht="15" customHeight="1" x14ac:dyDescent="0.15">
      <c r="A23" s="256" t="s">
        <v>1036</v>
      </c>
      <c r="B23" s="257">
        <f>Raw_Data!B41</f>
        <v>1250</v>
      </c>
      <c r="C23" s="257">
        <f>Raw_Data!C41</f>
        <v>0</v>
      </c>
      <c r="D23" s="257">
        <f>Raw_Data!D41</f>
        <v>0</v>
      </c>
      <c r="E23" s="257">
        <f>Raw_Data!E41</f>
        <v>0</v>
      </c>
      <c r="F23" s="257">
        <f>Raw_Data!F41</f>
        <v>0</v>
      </c>
      <c r="G23" s="257">
        <f>Raw_Data!G41</f>
        <v>0</v>
      </c>
      <c r="H23" s="257">
        <f>Raw_Data!H41</f>
        <v>999</v>
      </c>
      <c r="I23" s="257">
        <f>Raw_Data!I41</f>
        <v>999</v>
      </c>
      <c r="J23" s="257">
        <f>Raw_Data!J41</f>
        <v>1000</v>
      </c>
      <c r="K23" s="257">
        <f>Raw_Data!K41</f>
        <v>1000</v>
      </c>
      <c r="L23" s="258">
        <f>Assumptions!M61</f>
        <v>1000</v>
      </c>
      <c r="M23" s="258">
        <f>Assumptions!N61</f>
        <v>1000</v>
      </c>
      <c r="N23" s="258">
        <f>Assumptions!O61</f>
        <v>1000</v>
      </c>
      <c r="O23" s="258">
        <f>Assumptions!P61</f>
        <v>1000</v>
      </c>
      <c r="P23" s="258">
        <f>Assumptions!Q61</f>
        <v>1000</v>
      </c>
      <c r="Q23" s="258">
        <f>Assumptions!R61</f>
        <v>1000</v>
      </c>
      <c r="R23" s="258">
        <f>Assumptions!S61</f>
        <v>1000</v>
      </c>
      <c r="S23" s="258">
        <f>Assumptions!T61</f>
        <v>1000</v>
      </c>
      <c r="T23" s="258">
        <f>Assumptions!U61</f>
        <v>1000</v>
      </c>
      <c r="U23" s="258">
        <f>Assumptions!V61</f>
        <v>1000</v>
      </c>
      <c r="W23" s="258">
        <f>E23</f>
        <v>0</v>
      </c>
      <c r="X23" s="258">
        <f>I23</f>
        <v>999</v>
      </c>
      <c r="Y23" s="258">
        <f>M23</f>
        <v>1000</v>
      </c>
      <c r="Z23" s="258">
        <f>Q23</f>
        <v>1000</v>
      </c>
      <c r="AA23" s="258">
        <f>U23</f>
        <v>1000</v>
      </c>
      <c r="AB23" s="58" t="s">
        <v>1037</v>
      </c>
    </row>
    <row r="24" spans="1:29" ht="15" customHeight="1" x14ac:dyDescent="0.15">
      <c r="A24" s="56" t="s">
        <v>1038</v>
      </c>
      <c r="B24" s="260">
        <f t="shared" ref="B24:U24" si="9">SUM(B21:B23)</f>
        <v>15223</v>
      </c>
      <c r="C24" s="260">
        <f t="shared" si="9"/>
        <v>13969</v>
      </c>
      <c r="D24" s="260">
        <f t="shared" si="9"/>
        <v>16479</v>
      </c>
      <c r="E24" s="260">
        <f t="shared" si="9"/>
        <v>18047</v>
      </c>
      <c r="F24" s="260">
        <f t="shared" si="9"/>
        <v>26542</v>
      </c>
      <c r="G24" s="260">
        <f t="shared" si="9"/>
        <v>24257</v>
      </c>
      <c r="H24" s="260">
        <f t="shared" si="9"/>
        <v>26075</v>
      </c>
      <c r="I24" s="260">
        <f t="shared" si="9"/>
        <v>32163</v>
      </c>
      <c r="J24" s="260">
        <f t="shared" si="9"/>
        <v>43884</v>
      </c>
      <c r="K24" s="260">
        <f t="shared" si="9"/>
        <v>43019</v>
      </c>
      <c r="L24" s="260">
        <f t="shared" si="9"/>
        <v>48876.957776802628</v>
      </c>
      <c r="M24" s="260">
        <f t="shared" si="9"/>
        <v>54863.727637499163</v>
      </c>
      <c r="N24" s="260">
        <f t="shared" si="9"/>
        <v>65482.094539925281</v>
      </c>
      <c r="O24" s="260">
        <f t="shared" si="9"/>
        <v>74482.05024730321</v>
      </c>
      <c r="P24" s="260">
        <f t="shared" si="9"/>
        <v>82519.183455892839</v>
      </c>
      <c r="Q24" s="260">
        <f t="shared" si="9"/>
        <v>89529.664957740737</v>
      </c>
      <c r="R24" s="260">
        <f t="shared" si="9"/>
        <v>96371.438923104521</v>
      </c>
      <c r="S24" s="260">
        <f t="shared" si="9"/>
        <v>101542.71859156975</v>
      </c>
      <c r="T24" s="260">
        <f t="shared" si="9"/>
        <v>105797.1254070509</v>
      </c>
      <c r="U24" s="260">
        <f t="shared" si="9"/>
        <v>109269.8037861643</v>
      </c>
      <c r="V24" s="56"/>
      <c r="W24" s="260">
        <f>SUM(W21:W23)</f>
        <v>18047</v>
      </c>
      <c r="X24" s="260">
        <f>SUM(X21:X23)</f>
        <v>32163</v>
      </c>
      <c r="Y24" s="260">
        <f>SUM(Y21:Y23)</f>
        <v>54863.727637499163</v>
      </c>
      <c r="Z24" s="260">
        <f>SUM(Z21:Z23)</f>
        <v>89529.664957740737</v>
      </c>
      <c r="AA24" s="260">
        <f>SUM(AA21:AA23)</f>
        <v>109269.8037861643</v>
      </c>
      <c r="AB24" s="262"/>
      <c r="AC24" s="262"/>
    </row>
    <row r="25" spans="1:29" ht="15" customHeight="1" x14ac:dyDescent="0.15">
      <c r="A25" s="57" t="s">
        <v>1039</v>
      </c>
      <c r="B25" s="245">
        <f>Raw_Data!B43</f>
        <v>8460</v>
      </c>
      <c r="C25" s="245">
        <f>Raw_Data!C43</f>
        <v>8461</v>
      </c>
      <c r="D25" s="245">
        <f>Raw_Data!D43</f>
        <v>8462</v>
      </c>
      <c r="E25" s="245">
        <f>Raw_Data!E43</f>
        <v>8463</v>
      </c>
      <c r="F25" s="245">
        <f>Raw_Data!F43</f>
        <v>8464</v>
      </c>
      <c r="G25" s="245">
        <f>Raw_Data!G43</f>
        <v>8466</v>
      </c>
      <c r="H25" s="245">
        <f>Raw_Data!H43</f>
        <v>7468</v>
      </c>
      <c r="I25" s="245">
        <f>Raw_Data!I43</f>
        <v>7469</v>
      </c>
      <c r="J25" s="245">
        <f>Raw_Data!J43</f>
        <v>7470</v>
      </c>
      <c r="K25" s="245">
        <f>Raw_Data!K43</f>
        <v>32366</v>
      </c>
      <c r="L25" s="77">
        <f>-Assumptions!M62+K25</f>
        <v>32366</v>
      </c>
      <c r="M25" s="77">
        <f>-Assumptions!N62+L25</f>
        <v>32366</v>
      </c>
      <c r="N25" s="77">
        <f>-Assumptions!O62+M25</f>
        <v>32366</v>
      </c>
      <c r="O25" s="77">
        <f>-Assumptions!P62+N25</f>
        <v>32366</v>
      </c>
      <c r="P25" s="77">
        <f>-Assumptions!Q62+O25</f>
        <v>32366</v>
      </c>
      <c r="Q25" s="77">
        <f>-Assumptions!R62+P25</f>
        <v>32366</v>
      </c>
      <c r="R25" s="77">
        <f>-Assumptions!S62+Q25</f>
        <v>32366</v>
      </c>
      <c r="S25" s="77">
        <f>-Assumptions!T62+R25</f>
        <v>32366</v>
      </c>
      <c r="T25" s="77">
        <f>-Assumptions!U62+S25</f>
        <v>32366</v>
      </c>
      <c r="U25" s="77">
        <f>-Assumptions!V62+T25</f>
        <v>32366</v>
      </c>
      <c r="W25" s="77">
        <f>E25</f>
        <v>8463</v>
      </c>
      <c r="X25" s="77">
        <f>I25</f>
        <v>7469</v>
      </c>
      <c r="Y25" s="77">
        <f>M25</f>
        <v>32366</v>
      </c>
      <c r="Z25" s="77">
        <f>Q25</f>
        <v>32366</v>
      </c>
      <c r="AA25" s="77">
        <f>U25</f>
        <v>32366</v>
      </c>
      <c r="AB25" s="58" t="s">
        <v>1040</v>
      </c>
    </row>
    <row r="26" spans="1:29" ht="15" customHeight="1" x14ac:dyDescent="0.15">
      <c r="A26" s="57" t="s">
        <v>1041</v>
      </c>
      <c r="B26" s="245">
        <f>Raw_Data!B44</f>
        <v>1281</v>
      </c>
      <c r="C26" s="245">
        <f>Raw_Data!C44</f>
        <v>1304</v>
      </c>
      <c r="D26" s="245">
        <f>Raw_Data!D44</f>
        <v>1490</v>
      </c>
      <c r="E26" s="245">
        <f>Raw_Data!E44</f>
        <v>1519</v>
      </c>
      <c r="F26" s="245">
        <f>Raw_Data!F44</f>
        <v>1521</v>
      </c>
      <c r="G26" s="245">
        <f>Raw_Data!G44</f>
        <v>1831</v>
      </c>
      <c r="H26" s="245">
        <f>Raw_Data!H44</f>
        <v>2014</v>
      </c>
      <c r="I26" s="245">
        <f>Raw_Data!I44</f>
        <v>2572</v>
      </c>
      <c r="J26" s="245">
        <f>Raw_Data!J44</f>
        <v>3878</v>
      </c>
      <c r="K26" s="245">
        <f>Raw_Data!K44</f>
        <v>4985</v>
      </c>
      <c r="L26" s="77">
        <f t="shared" ref="L26:U26" si="10">K26</f>
        <v>4985</v>
      </c>
      <c r="M26" s="77">
        <f t="shared" si="10"/>
        <v>4985</v>
      </c>
      <c r="N26" s="77">
        <f t="shared" si="10"/>
        <v>4985</v>
      </c>
      <c r="O26" s="77">
        <f t="shared" si="10"/>
        <v>4985</v>
      </c>
      <c r="P26" s="77">
        <f t="shared" si="10"/>
        <v>4985</v>
      </c>
      <c r="Q26" s="77">
        <f t="shared" si="10"/>
        <v>4985</v>
      </c>
      <c r="R26" s="77">
        <f t="shared" si="10"/>
        <v>4985</v>
      </c>
      <c r="S26" s="77">
        <f t="shared" si="10"/>
        <v>4985</v>
      </c>
      <c r="T26" s="77">
        <f t="shared" si="10"/>
        <v>4985</v>
      </c>
      <c r="U26" s="77">
        <f t="shared" si="10"/>
        <v>4985</v>
      </c>
      <c r="W26" s="77">
        <f>E26</f>
        <v>1519</v>
      </c>
      <c r="X26" s="77">
        <f>I26</f>
        <v>2572</v>
      </c>
      <c r="Y26" s="77">
        <f>M26</f>
        <v>4985</v>
      </c>
      <c r="Z26" s="77">
        <f>Q26</f>
        <v>4985</v>
      </c>
      <c r="AA26" s="77">
        <f>U26</f>
        <v>4985</v>
      </c>
      <c r="AB26" s="58" t="s">
        <v>1042</v>
      </c>
    </row>
    <row r="27" spans="1:29" ht="15" customHeight="1" x14ac:dyDescent="0.15">
      <c r="A27" s="256" t="s">
        <v>1043</v>
      </c>
      <c r="B27" s="257">
        <f>Raw_Data!B45</f>
        <v>2966</v>
      </c>
      <c r="C27" s="257">
        <f>Raw_Data!C45</f>
        <v>3336</v>
      </c>
      <c r="D27" s="257">
        <f>Raw_Data!D45</f>
        <v>3683</v>
      </c>
      <c r="E27" s="257">
        <f>Raw_Data!E45</f>
        <v>4245</v>
      </c>
      <c r="F27" s="257">
        <f>Raw_Data!F45</f>
        <v>4884</v>
      </c>
      <c r="G27" s="257">
        <f>Raw_Data!G45</f>
        <v>6055</v>
      </c>
      <c r="H27" s="257">
        <f>Raw_Data!H45</f>
        <v>6694</v>
      </c>
      <c r="I27" s="257">
        <f>Raw_Data!I45</f>
        <v>7306</v>
      </c>
      <c r="J27" s="257">
        <f>Raw_Data!J45</f>
        <v>8768</v>
      </c>
      <c r="K27" s="257">
        <f>Raw_Data!K45</f>
        <v>10918</v>
      </c>
      <c r="L27" s="258">
        <f t="shared" ref="L27:U27" si="11">K27</f>
        <v>10918</v>
      </c>
      <c r="M27" s="258">
        <f t="shared" si="11"/>
        <v>10918</v>
      </c>
      <c r="N27" s="258">
        <f t="shared" si="11"/>
        <v>10918</v>
      </c>
      <c r="O27" s="258">
        <f t="shared" si="11"/>
        <v>10918</v>
      </c>
      <c r="P27" s="258">
        <f t="shared" si="11"/>
        <v>10918</v>
      </c>
      <c r="Q27" s="258">
        <f t="shared" si="11"/>
        <v>10918</v>
      </c>
      <c r="R27" s="258">
        <f t="shared" si="11"/>
        <v>10918</v>
      </c>
      <c r="S27" s="258">
        <f t="shared" si="11"/>
        <v>10918</v>
      </c>
      <c r="T27" s="258">
        <f t="shared" si="11"/>
        <v>10918</v>
      </c>
      <c r="U27" s="258">
        <f t="shared" si="11"/>
        <v>10918</v>
      </c>
      <c r="W27" s="258">
        <f>E27</f>
        <v>4245</v>
      </c>
      <c r="X27" s="258">
        <f>I27</f>
        <v>7306</v>
      </c>
      <c r="Y27" s="258">
        <f>M27</f>
        <v>10918</v>
      </c>
      <c r="Z27" s="258">
        <f>Q27</f>
        <v>10918</v>
      </c>
      <c r="AA27" s="258">
        <f>U27</f>
        <v>10918</v>
      </c>
      <c r="AB27" s="58" t="s">
        <v>1042</v>
      </c>
    </row>
    <row r="28" spans="1:29" ht="15" customHeight="1" x14ac:dyDescent="0.15">
      <c r="A28" s="56" t="s">
        <v>1044</v>
      </c>
      <c r="B28" s="260">
        <f t="shared" ref="B28:U28" si="12">B24+B25+B26+B27</f>
        <v>27930</v>
      </c>
      <c r="C28" s="260">
        <f t="shared" si="12"/>
        <v>27070</v>
      </c>
      <c r="D28" s="260">
        <f t="shared" si="12"/>
        <v>30114</v>
      </c>
      <c r="E28" s="260">
        <f t="shared" si="12"/>
        <v>32274</v>
      </c>
      <c r="F28" s="260">
        <f t="shared" si="12"/>
        <v>41411</v>
      </c>
      <c r="G28" s="260">
        <f t="shared" si="12"/>
        <v>40609</v>
      </c>
      <c r="H28" s="260">
        <f t="shared" si="12"/>
        <v>42251</v>
      </c>
      <c r="I28" s="260">
        <f t="shared" si="12"/>
        <v>49510</v>
      </c>
      <c r="J28" s="260">
        <f t="shared" si="12"/>
        <v>64000</v>
      </c>
      <c r="K28" s="260">
        <f t="shared" si="12"/>
        <v>91288</v>
      </c>
      <c r="L28" s="260">
        <f t="shared" si="12"/>
        <v>97145.957776802621</v>
      </c>
      <c r="M28" s="260">
        <f t="shared" si="12"/>
        <v>103132.72763749916</v>
      </c>
      <c r="N28" s="260">
        <f t="shared" si="12"/>
        <v>113751.09453992528</v>
      </c>
      <c r="O28" s="260">
        <f t="shared" si="12"/>
        <v>122751.05024730321</v>
      </c>
      <c r="P28" s="260">
        <f t="shared" si="12"/>
        <v>130788.18345589284</v>
      </c>
      <c r="Q28" s="260">
        <f t="shared" si="12"/>
        <v>137798.66495774075</v>
      </c>
      <c r="R28" s="260">
        <f t="shared" si="12"/>
        <v>144640.43892310452</v>
      </c>
      <c r="S28" s="260">
        <f t="shared" si="12"/>
        <v>149811.71859156975</v>
      </c>
      <c r="T28" s="260">
        <f t="shared" si="12"/>
        <v>154066.12540705089</v>
      </c>
      <c r="U28" s="260">
        <f t="shared" si="12"/>
        <v>157538.8037861643</v>
      </c>
      <c r="V28" s="56"/>
      <c r="W28" s="260">
        <f>W24+W25+W26+W27</f>
        <v>32274</v>
      </c>
      <c r="X28" s="260">
        <f>X24+X25+X26+X27</f>
        <v>49510</v>
      </c>
      <c r="Y28" s="260">
        <f>Y24+Y25+Y26+Y27</f>
        <v>103132.72763749916</v>
      </c>
      <c r="Z28" s="260">
        <f>Z24+Z25+Z26+Z27</f>
        <v>137798.66495774075</v>
      </c>
      <c r="AA28" s="260">
        <f>AA24+AA25+AA26+AA27</f>
        <v>157538.8037861643</v>
      </c>
      <c r="AB28" s="262"/>
      <c r="AC28" s="262"/>
    </row>
    <row r="30" spans="1:29" ht="15" customHeight="1" x14ac:dyDescent="0.15">
      <c r="A30" s="57" t="s">
        <v>1045</v>
      </c>
      <c r="B30" s="77">
        <f>Raw_Data!B47+Raw_Data!B48</f>
        <v>12653</v>
      </c>
      <c r="C30" s="77">
        <f>Raw_Data!C47+Raw_Data!C48</f>
        <v>12140</v>
      </c>
      <c r="D30" s="77">
        <f>Raw_Data!D47+Raw_Data!D48</f>
        <v>11846</v>
      </c>
      <c r="E30" s="77">
        <f>Raw_Data!E47+Raw_Data!E48</f>
        <v>11261</v>
      </c>
      <c r="F30" s="77">
        <f>Raw_Data!F47+Raw_Data!F48</f>
        <v>11499</v>
      </c>
      <c r="G30" s="77">
        <f>Raw_Data!G47+Raw_Data!G48</f>
        <v>11224</v>
      </c>
      <c r="H30" s="77">
        <f>Raw_Data!H47+Raw_Data!H48</f>
        <v>10650</v>
      </c>
      <c r="I30" s="77">
        <f>Raw_Data!I47+Raw_Data!I48</f>
        <v>10142</v>
      </c>
      <c r="J30" s="77">
        <f>Raw_Data!J47+Raw_Data!J48</f>
        <v>10299</v>
      </c>
      <c r="K30" s="77">
        <f>Raw_Data!K47+Raw_Data!K48</f>
        <v>9852</v>
      </c>
      <c r="L30" s="77">
        <f>K30+Assumptions!M30+Assumptions!M60</f>
        <v>12252</v>
      </c>
      <c r="M30" s="77">
        <f>L30+Assumptions!N30+Assumptions!N60</f>
        <v>14712</v>
      </c>
      <c r="N30" s="77">
        <f>M30+Assumptions!O30+Assumptions!O60</f>
        <v>17232</v>
      </c>
      <c r="O30" s="77">
        <f>N30+Assumptions!P30+Assumptions!P60</f>
        <v>19812</v>
      </c>
      <c r="P30" s="77">
        <f>O30+Assumptions!Q30+Assumptions!Q60</f>
        <v>22452</v>
      </c>
      <c r="Q30" s="77">
        <f>P30+Assumptions!R30+Assumptions!R60</f>
        <v>25152</v>
      </c>
      <c r="R30" s="77">
        <f>Q30+Assumptions!S30+Assumptions!S60</f>
        <v>27912</v>
      </c>
      <c r="S30" s="77">
        <f>R30+Assumptions!T30+Assumptions!T60</f>
        <v>30732</v>
      </c>
      <c r="T30" s="77">
        <f>S30+Assumptions!U30+Assumptions!U60</f>
        <v>33612</v>
      </c>
      <c r="U30" s="77">
        <f>T30+Assumptions!V30+Assumptions!V60</f>
        <v>36552</v>
      </c>
      <c r="W30" s="77">
        <f>E30</f>
        <v>11261</v>
      </c>
      <c r="X30" s="77">
        <f>I30</f>
        <v>10142</v>
      </c>
      <c r="Y30" s="77">
        <f>M30</f>
        <v>14712</v>
      </c>
      <c r="Z30" s="77">
        <f>Q30</f>
        <v>25152</v>
      </c>
      <c r="AA30" s="77">
        <f>U30</f>
        <v>36552</v>
      </c>
      <c r="AB30" s="58" t="s">
        <v>1046</v>
      </c>
    </row>
    <row r="31" spans="1:29" ht="15" customHeight="1" x14ac:dyDescent="0.15">
      <c r="A31" s="57" t="s">
        <v>1047</v>
      </c>
      <c r="B31" s="245">
        <f>Raw_Data!B49</f>
        <v>36598</v>
      </c>
      <c r="C31" s="245">
        <f>Raw_Data!C49</f>
        <v>45961</v>
      </c>
      <c r="D31" s="245">
        <f>Raw_Data!D49</f>
        <v>53950</v>
      </c>
      <c r="E31" s="245">
        <f>Raw_Data!E49</f>
        <v>68038</v>
      </c>
      <c r="F31" s="245">
        <f>Raw_Data!F49</f>
        <v>72158</v>
      </c>
      <c r="G31" s="245">
        <f>Raw_Data!G49</f>
        <v>88737</v>
      </c>
      <c r="H31" s="245">
        <f>Raw_Data!H49</f>
        <v>107908</v>
      </c>
      <c r="I31" s="245">
        <f>Raw_Data!I49</f>
        <v>146973</v>
      </c>
      <c r="J31" s="245">
        <f>Raw_Data!J49</f>
        <v>185038</v>
      </c>
      <c r="K31" s="245">
        <f>Raw_Data!K49</f>
        <v>219157</v>
      </c>
      <c r="L31" s="77">
        <f>K31+IS!L22-Assumptions!M57-Assumptions!M58-Assumptions!M59</f>
        <v>251141.1859556119</v>
      </c>
      <c r="M31" s="77">
        <f>L31+IS!M22-Assumptions!N57-Assumptions!N58-Assumptions!N59</f>
        <v>284121.65693748422</v>
      </c>
      <c r="N31" s="77">
        <f>M31+IS!N22-Assumptions!O57-Assumptions!O58-Assumptions!O59</f>
        <v>327878.12262177211</v>
      </c>
      <c r="O31" s="77">
        <f>N31+IS!O22-Assumptions!P57-Assumptions!P58-Assumptions!P59</f>
        <v>376919.62874074059</v>
      </c>
      <c r="P31" s="77">
        <f>O31+IS!P22-Assumptions!Q57-Assumptions!Q58-Assumptions!Q59</f>
        <v>430950.28629150346</v>
      </c>
      <c r="Q31" s="77">
        <f>P31+IS!Q22-Assumptions!R57-Assumptions!R58-Assumptions!R59</f>
        <v>489172.01163404802</v>
      </c>
      <c r="R31" s="77">
        <f>Q31+IS!R22-Assumptions!S57-Assumptions!S58-Assumptions!S59</f>
        <v>550228.20247518958</v>
      </c>
      <c r="S31" s="77">
        <f>R31+IS!S22-Assumptions!T57-Assumptions!T58-Assumptions!T59</f>
        <v>615061.06183266931</v>
      </c>
      <c r="T31" s="77">
        <f>S31+IS!T22-Assumptions!U57-Assumptions!U58-Assumptions!U59</f>
        <v>682045.36250827753</v>
      </c>
      <c r="U31" s="77">
        <f>T31+IS!U22-Assumptions!V57-Assumptions!V58-Assumptions!V59</f>
        <v>750727.71682658116</v>
      </c>
      <c r="W31" s="77">
        <f>E31</f>
        <v>68038</v>
      </c>
      <c r="X31" s="77">
        <f>I31</f>
        <v>146973</v>
      </c>
      <c r="Y31" s="77">
        <f>M31</f>
        <v>284121.65693748422</v>
      </c>
      <c r="Z31" s="77">
        <f>Q31</f>
        <v>489172.01163404802</v>
      </c>
      <c r="AA31" s="77">
        <f>U31</f>
        <v>750727.71682658116</v>
      </c>
      <c r="AB31" s="58" t="s">
        <v>1048</v>
      </c>
    </row>
    <row r="32" spans="1:29" ht="15" customHeight="1" x14ac:dyDescent="0.15">
      <c r="A32" s="256" t="s">
        <v>1049</v>
      </c>
      <c r="B32" s="257">
        <f>Raw_Data!B50</f>
        <v>-109</v>
      </c>
      <c r="C32" s="257">
        <f>Raw_Data!C50</f>
        <v>56</v>
      </c>
      <c r="D32" s="257">
        <f>Raw_Data!D50</f>
        <v>103</v>
      </c>
      <c r="E32" s="257">
        <f>Raw_Data!E50</f>
        <v>28</v>
      </c>
      <c r="F32" s="257">
        <f>Raw_Data!F50</f>
        <v>186</v>
      </c>
      <c r="G32" s="257">
        <f>Raw_Data!G50</f>
        <v>170</v>
      </c>
      <c r="H32" s="257">
        <f>Raw_Data!H50</f>
        <v>339</v>
      </c>
      <c r="I32" s="257">
        <f>Raw_Data!I50</f>
        <v>178</v>
      </c>
      <c r="J32" s="257">
        <f>Raw_Data!J50</f>
        <v>137</v>
      </c>
      <c r="K32" s="257">
        <f>Raw_Data!K50</f>
        <v>-25</v>
      </c>
      <c r="L32" s="258">
        <f t="shared" ref="L32:U32" si="13">K32</f>
        <v>-25</v>
      </c>
      <c r="M32" s="258">
        <f t="shared" si="13"/>
        <v>-25</v>
      </c>
      <c r="N32" s="258">
        <f t="shared" si="13"/>
        <v>-25</v>
      </c>
      <c r="O32" s="258">
        <f t="shared" si="13"/>
        <v>-25</v>
      </c>
      <c r="P32" s="258">
        <f t="shared" si="13"/>
        <v>-25</v>
      </c>
      <c r="Q32" s="258">
        <f t="shared" si="13"/>
        <v>-25</v>
      </c>
      <c r="R32" s="258">
        <f t="shared" si="13"/>
        <v>-25</v>
      </c>
      <c r="S32" s="258">
        <f t="shared" si="13"/>
        <v>-25</v>
      </c>
      <c r="T32" s="258">
        <f t="shared" si="13"/>
        <v>-25</v>
      </c>
      <c r="U32" s="258">
        <f t="shared" si="13"/>
        <v>-25</v>
      </c>
      <c r="W32" s="258">
        <f>E32</f>
        <v>28</v>
      </c>
      <c r="X32" s="258">
        <f>I32</f>
        <v>178</v>
      </c>
      <c r="Y32" s="258">
        <f>M32</f>
        <v>-25</v>
      </c>
      <c r="Z32" s="258">
        <f>Q32</f>
        <v>-25</v>
      </c>
      <c r="AA32" s="258">
        <f>U32</f>
        <v>-25</v>
      </c>
      <c r="AB32" s="58" t="s">
        <v>1042</v>
      </c>
    </row>
    <row r="33" spans="1:29" ht="15" customHeight="1" x14ac:dyDescent="0.15">
      <c r="A33" s="282" t="s">
        <v>1050</v>
      </c>
      <c r="B33" s="283">
        <f t="shared" ref="B33:U33" si="14">SUM(B30:B32)</f>
        <v>49142</v>
      </c>
      <c r="C33" s="283">
        <f t="shared" si="14"/>
        <v>58157</v>
      </c>
      <c r="D33" s="283">
        <f t="shared" si="14"/>
        <v>65899</v>
      </c>
      <c r="E33" s="283">
        <f t="shared" si="14"/>
        <v>79327</v>
      </c>
      <c r="F33" s="283">
        <f t="shared" si="14"/>
        <v>83843</v>
      </c>
      <c r="G33" s="283">
        <f t="shared" si="14"/>
        <v>100131</v>
      </c>
      <c r="H33" s="283">
        <f t="shared" si="14"/>
        <v>118897</v>
      </c>
      <c r="I33" s="283">
        <f t="shared" si="14"/>
        <v>157293</v>
      </c>
      <c r="J33" s="283">
        <f t="shared" si="14"/>
        <v>195474</v>
      </c>
      <c r="K33" s="283">
        <f t="shared" si="14"/>
        <v>228984</v>
      </c>
      <c r="L33" s="283">
        <f t="shared" si="14"/>
        <v>263368.18595561187</v>
      </c>
      <c r="M33" s="283">
        <f t="shared" si="14"/>
        <v>298808.65693748422</v>
      </c>
      <c r="N33" s="283">
        <f t="shared" si="14"/>
        <v>345085.12262177211</v>
      </c>
      <c r="O33" s="283">
        <f t="shared" si="14"/>
        <v>396706.62874074059</v>
      </c>
      <c r="P33" s="283">
        <f t="shared" si="14"/>
        <v>453377.28629150346</v>
      </c>
      <c r="Q33" s="283">
        <f t="shared" si="14"/>
        <v>514299.01163404802</v>
      </c>
      <c r="R33" s="283">
        <f t="shared" si="14"/>
        <v>578115.20247518958</v>
      </c>
      <c r="S33" s="283">
        <f t="shared" si="14"/>
        <v>645768.06183266931</v>
      </c>
      <c r="T33" s="283">
        <f t="shared" si="14"/>
        <v>715632.36250827753</v>
      </c>
      <c r="U33" s="283">
        <f t="shared" si="14"/>
        <v>787254.71682658116</v>
      </c>
      <c r="V33" s="56"/>
      <c r="W33" s="283">
        <f>SUM(W30:W32)</f>
        <v>79327</v>
      </c>
      <c r="X33" s="283">
        <f>SUM(X30:X32)</f>
        <v>157293</v>
      </c>
      <c r="Y33" s="283">
        <f>SUM(Y30:Y32)</f>
        <v>298808.65693748422</v>
      </c>
      <c r="Z33" s="283">
        <f>SUM(Z30:Z32)</f>
        <v>514299.01163404802</v>
      </c>
      <c r="AA33" s="283">
        <f>SUM(AA30:AA32)</f>
        <v>787254.71682658116</v>
      </c>
      <c r="AB33" s="262"/>
      <c r="AC33" s="262"/>
    </row>
    <row r="34" spans="1:29" ht="15" customHeight="1" x14ac:dyDescent="0.15">
      <c r="A34" s="56" t="s">
        <v>1051</v>
      </c>
      <c r="B34" s="260">
        <f t="shared" ref="B34:U34" si="15">B28+B33</f>
        <v>77072</v>
      </c>
      <c r="C34" s="260">
        <f t="shared" si="15"/>
        <v>85227</v>
      </c>
      <c r="D34" s="260">
        <f t="shared" si="15"/>
        <v>96013</v>
      </c>
      <c r="E34" s="260">
        <f t="shared" si="15"/>
        <v>111601</v>
      </c>
      <c r="F34" s="260">
        <f t="shared" si="15"/>
        <v>125254</v>
      </c>
      <c r="G34" s="260">
        <f t="shared" si="15"/>
        <v>140740</v>
      </c>
      <c r="H34" s="260">
        <f t="shared" si="15"/>
        <v>161148</v>
      </c>
      <c r="I34" s="260">
        <f t="shared" si="15"/>
        <v>206803</v>
      </c>
      <c r="J34" s="260">
        <f t="shared" si="15"/>
        <v>259474</v>
      </c>
      <c r="K34" s="260">
        <f t="shared" si="15"/>
        <v>320272</v>
      </c>
      <c r="L34" s="260">
        <f t="shared" si="15"/>
        <v>360514.14373241446</v>
      </c>
      <c r="M34" s="260">
        <f t="shared" si="15"/>
        <v>401941.38457498339</v>
      </c>
      <c r="N34" s="260">
        <f t="shared" si="15"/>
        <v>458836.21716169739</v>
      </c>
      <c r="O34" s="260">
        <f t="shared" si="15"/>
        <v>519457.6789880438</v>
      </c>
      <c r="P34" s="260">
        <f t="shared" si="15"/>
        <v>584165.4697473963</v>
      </c>
      <c r="Q34" s="260">
        <f t="shared" si="15"/>
        <v>652097.67659178877</v>
      </c>
      <c r="R34" s="260">
        <f t="shared" si="15"/>
        <v>722755.64139829413</v>
      </c>
      <c r="S34" s="260">
        <f t="shared" si="15"/>
        <v>795579.78042423911</v>
      </c>
      <c r="T34" s="260">
        <f t="shared" si="15"/>
        <v>869698.48791532847</v>
      </c>
      <c r="U34" s="260">
        <f t="shared" si="15"/>
        <v>944793.52061274543</v>
      </c>
      <c r="V34" s="56"/>
      <c r="W34" s="260">
        <f>W28+W33</f>
        <v>111601</v>
      </c>
      <c r="X34" s="260">
        <f>X28+X33</f>
        <v>206803</v>
      </c>
      <c r="Y34" s="260">
        <f>Y28+Y33</f>
        <v>401941.38457498339</v>
      </c>
      <c r="Z34" s="260">
        <f>Z28+Z33</f>
        <v>652097.67659178877</v>
      </c>
      <c r="AA34" s="260">
        <f>AA28+AA33</f>
        <v>944793.52061274543</v>
      </c>
      <c r="AB34" s="262"/>
      <c r="AC34" s="262"/>
    </row>
    <row r="35" spans="1:29" ht="15" customHeight="1" x14ac:dyDescent="0.15">
      <c r="A35" s="57" t="s">
        <v>1052</v>
      </c>
      <c r="B35" s="77">
        <f t="shared" ref="B35:U35" si="16">B19-B34</f>
        <v>0</v>
      </c>
      <c r="C35" s="77">
        <f t="shared" si="16"/>
        <v>0</v>
      </c>
      <c r="D35" s="77">
        <f t="shared" si="16"/>
        <v>0</v>
      </c>
      <c r="E35" s="77">
        <f t="shared" si="16"/>
        <v>0</v>
      </c>
      <c r="F35" s="77">
        <f t="shared" si="16"/>
        <v>0</v>
      </c>
      <c r="G35" s="77">
        <f t="shared" si="16"/>
        <v>0</v>
      </c>
      <c r="H35" s="77">
        <f t="shared" si="16"/>
        <v>0</v>
      </c>
      <c r="I35" s="77">
        <f t="shared" si="16"/>
        <v>0</v>
      </c>
      <c r="J35" s="77">
        <f t="shared" si="16"/>
        <v>0</v>
      </c>
      <c r="K35" s="77">
        <f t="shared" si="16"/>
        <v>0</v>
      </c>
      <c r="L35" s="77">
        <f t="shared" si="16"/>
        <v>0</v>
      </c>
      <c r="M35" s="77">
        <f t="shared" si="16"/>
        <v>0</v>
      </c>
      <c r="N35" s="77">
        <f t="shared" si="16"/>
        <v>0</v>
      </c>
      <c r="O35" s="77">
        <f t="shared" si="16"/>
        <v>0</v>
      </c>
      <c r="P35" s="77">
        <f t="shared" si="16"/>
        <v>0</v>
      </c>
      <c r="Q35" s="77">
        <f t="shared" si="16"/>
        <v>0</v>
      </c>
      <c r="R35" s="77">
        <f t="shared" si="16"/>
        <v>0</v>
      </c>
      <c r="S35" s="77">
        <f t="shared" si="16"/>
        <v>0</v>
      </c>
      <c r="T35" s="77">
        <f t="shared" si="16"/>
        <v>0</v>
      </c>
      <c r="U35" s="77">
        <f t="shared" si="16"/>
        <v>0</v>
      </c>
      <c r="W35" s="77">
        <f>W19-W34</f>
        <v>0</v>
      </c>
      <c r="X35" s="77">
        <f>X19-X34</f>
        <v>0</v>
      </c>
      <c r="Y35" s="77">
        <f>Y19-Y34</f>
        <v>0</v>
      </c>
      <c r="Z35" s="77">
        <f>Z19-Z34</f>
        <v>0</v>
      </c>
      <c r="AA35" s="77">
        <f>AA19-AA34</f>
        <v>0</v>
      </c>
      <c r="AB35" s="58" t="s">
        <v>1053</v>
      </c>
    </row>
    <row r="37" spans="1:29" ht="15" customHeight="1" x14ac:dyDescent="0.15">
      <c r="A37" s="59" t="s">
        <v>1054</v>
      </c>
      <c r="B37" s="114"/>
      <c r="C37" s="114"/>
      <c r="D37" s="114"/>
      <c r="E37" s="114"/>
      <c r="F37" s="114"/>
      <c r="G37" s="114"/>
      <c r="H37" s="114"/>
      <c r="I37" s="114"/>
      <c r="J37" s="114"/>
      <c r="K37" s="114"/>
      <c r="L37" s="114"/>
      <c r="M37" s="114"/>
      <c r="N37" s="114"/>
      <c r="O37" s="114"/>
      <c r="P37" s="114"/>
      <c r="Q37" s="114"/>
      <c r="R37" s="114"/>
      <c r="S37" s="114"/>
      <c r="T37" s="114"/>
      <c r="U37" s="114"/>
      <c r="V37" s="211"/>
      <c r="W37" s="114"/>
      <c r="X37" s="114"/>
      <c r="Y37" s="114"/>
      <c r="Z37" s="114"/>
      <c r="AA37" s="114"/>
      <c r="AB37" s="114"/>
      <c r="AC37" s="114"/>
    </row>
    <row r="38" spans="1:29" ht="15" customHeight="1" x14ac:dyDescent="0.15">
      <c r="A38" s="57" t="s">
        <v>1055</v>
      </c>
      <c r="B38" s="77">
        <f t="shared" ref="B38:U38" si="17">(B12-B7)-(B24-B23)</f>
        <v>32169</v>
      </c>
      <c r="C38" s="77">
        <f t="shared" si="17"/>
        <v>37101</v>
      </c>
      <c r="D38" s="77">
        <f t="shared" si="17"/>
        <v>42054</v>
      </c>
      <c r="E38" s="77">
        <f t="shared" si="17"/>
        <v>53490</v>
      </c>
      <c r="F38" s="77">
        <f t="shared" si="17"/>
        <v>48159</v>
      </c>
      <c r="G38" s="77">
        <f t="shared" si="17"/>
        <v>66323</v>
      </c>
      <c r="H38" s="77">
        <f t="shared" si="17"/>
        <v>79930</v>
      </c>
      <c r="I38" s="77">
        <f t="shared" si="17"/>
        <v>83836</v>
      </c>
      <c r="J38" s="77">
        <f t="shared" si="17"/>
        <v>94874</v>
      </c>
      <c r="K38" s="77">
        <f t="shared" si="17"/>
        <v>132950</v>
      </c>
      <c r="L38" s="77">
        <f t="shared" si="17"/>
        <v>148456.45961702577</v>
      </c>
      <c r="M38" s="77">
        <f t="shared" si="17"/>
        <v>162314.92060009169</v>
      </c>
      <c r="N38" s="77">
        <f t="shared" si="17"/>
        <v>182860.60236786207</v>
      </c>
      <c r="O38" s="77">
        <f t="shared" si="17"/>
        <v>201206.08618790912</v>
      </c>
      <c r="P38" s="77">
        <f t="shared" si="17"/>
        <v>218234.90355337318</v>
      </c>
      <c r="Q38" s="77">
        <f t="shared" si="17"/>
        <v>233851.43872163031</v>
      </c>
      <c r="R38" s="77">
        <f t="shared" si="17"/>
        <v>246002.46028553447</v>
      </c>
      <c r="S38" s="77">
        <f t="shared" si="17"/>
        <v>258892.86608034425</v>
      </c>
      <c r="T38" s="77">
        <f t="shared" si="17"/>
        <v>270561.59630849882</v>
      </c>
      <c r="U38" s="77">
        <f t="shared" si="17"/>
        <v>281188.72242833907</v>
      </c>
      <c r="W38" s="77">
        <f>(W12-W7)-(W24-W23)</f>
        <v>53490</v>
      </c>
      <c r="X38" s="77">
        <f>(X12-X7)-(X24-X23)</f>
        <v>83836</v>
      </c>
      <c r="Y38" s="77">
        <f>(Y12-Y7)-(Y24-Y23)</f>
        <v>162314.92060009169</v>
      </c>
      <c r="Z38" s="77">
        <f>(Z12-Z7)-(Z24-Z23)</f>
        <v>233851.43872163031</v>
      </c>
      <c r="AA38" s="77">
        <f>(AA12-AA7)-(AA24-AA23)</f>
        <v>281188.72242833907</v>
      </c>
      <c r="AB38" s="58" t="s">
        <v>1056</v>
      </c>
    </row>
    <row r="39" spans="1:29" ht="15" customHeight="1" x14ac:dyDescent="0.15">
      <c r="A39" s="58" t="s">
        <v>749</v>
      </c>
      <c r="B39" s="288">
        <f>IF(IS!B7=0,0,B9/(IS!B7*4)*365)</f>
        <v>43.323078252188601</v>
      </c>
      <c r="C39" s="288">
        <f>IF(IS!C7=0,0,C9/(IS!C7*4)*365)</f>
        <v>42.927596537949398</v>
      </c>
      <c r="D39" s="288">
        <f>IF(IS!D7=0,0,D9/(IS!D7*4)*365)</f>
        <v>46.020359443589307</v>
      </c>
      <c r="E39" s="288">
        <f>IF(IS!E7=0,0,E9/(IS!E7*4)*365)</f>
        <v>53.51201978083445</v>
      </c>
      <c r="F39" s="288">
        <f>IF(IS!F7=0,0,F9/(IS!F7*4)*365)</f>
        <v>45.83416549407653</v>
      </c>
      <c r="G39" s="288">
        <f>IF(IS!G7=0,0,G9/(IS!G7*4)*365)</f>
        <v>54.285775410221845</v>
      </c>
      <c r="H39" s="288">
        <f>IF(IS!H7=0,0,H9/(IS!H7*4)*365)</f>
        <v>53.449264112549557</v>
      </c>
      <c r="I39" s="288">
        <f>IF(IS!I7=0,0,I9/(IS!I7*4)*365)</f>
        <v>51.521753489805796</v>
      </c>
      <c r="J39" s="288">
        <f>IF(IS!J7=0,0,J9/(IS!J7*4)*365)</f>
        <v>45.515989707774303</v>
      </c>
      <c r="K39" s="288">
        <f>IF(IS!K7=0,0,K9/(IS!K7*4)*365)</f>
        <v>59.801225823884593</v>
      </c>
      <c r="L39" s="288">
        <f>IF(IS!L7=0,0,L9/(IS!L7/Assumptions!M13*4)*365)</f>
        <v>60.000000000000007</v>
      </c>
      <c r="M39" s="288">
        <f>IF(IS!M7=0,0,M9/(IS!M7/Assumptions!N13*4)*365)</f>
        <v>60.000000000000007</v>
      </c>
      <c r="N39" s="288">
        <f>IF(IS!N7=0,0,N9/(IS!N7/Assumptions!O13*4)*365)</f>
        <v>60</v>
      </c>
      <c r="O39" s="288">
        <f>IF(IS!O7=0,0,O9/(IS!O7/Assumptions!P13*4)*365)</f>
        <v>60</v>
      </c>
      <c r="P39" s="288">
        <f>IF(IS!P7=0,0,P9/(IS!P7/Assumptions!Q13*4)*365)</f>
        <v>60</v>
      </c>
      <c r="Q39" s="288">
        <f>IF(IS!Q7=0,0,Q9/(IS!Q7/Assumptions!R13*4)*365)</f>
        <v>60</v>
      </c>
      <c r="R39" s="288">
        <f>IF(IS!R7=0,0,R9/(IS!R7/Assumptions!S13*4)*365)</f>
        <v>60.000000000000007</v>
      </c>
      <c r="S39" s="288">
        <f>IF(IS!S7=0,0,S9/(IS!S7/Assumptions!T13*4)*365)</f>
        <v>60.000000000000007</v>
      </c>
      <c r="T39" s="288">
        <f>IF(IS!T7=0,0,T9/(IS!T7/Assumptions!U13*4)*365)</f>
        <v>60</v>
      </c>
      <c r="U39" s="288">
        <f>IF(IS!U7=0,0,U9/(IS!U7/Assumptions!V13*4)*365)</f>
        <v>60</v>
      </c>
      <c r="W39" s="288">
        <f>IF(IS!W7=0,0,W9/IS!W7*365)</f>
        <v>64.512785734537957</v>
      </c>
      <c r="X39" s="288">
        <f>IF(IS!X7=0,0,X9/IS!X7*365)</f>
        <v>65.01907955061175</v>
      </c>
      <c r="Y39" s="288">
        <f>IF(IS!Y7=0,0,Y9/IS!Y7*365)</f>
        <v>70.358158712375484</v>
      </c>
      <c r="Z39" s="288">
        <f>IF(IS!Z7=0,0,Z9/IS!Z7*365)</f>
        <v>69.318062924412658</v>
      </c>
      <c r="AA39" s="288">
        <f>IF(IS!AA7=0,0,AA9/IS!AA7*365)</f>
        <v>63.535341249750196</v>
      </c>
      <c r="AB39" s="58" t="s">
        <v>1057</v>
      </c>
    </row>
    <row r="40" spans="1:29" ht="15" customHeight="1" x14ac:dyDescent="0.15">
      <c r="A40" s="58" t="s">
        <v>752</v>
      </c>
      <c r="B40" s="288">
        <f>IF(IS!B8=0,0,-B10/(IS!B8*4)*365)</f>
        <v>94.90776871230932</v>
      </c>
      <c r="C40" s="288">
        <f>IF(IS!C8=0,0,-C10/(IS!C8*4)*365)</f>
        <v>81.582339941066166</v>
      </c>
      <c r="D40" s="288">
        <f>IF(IS!D8=0,0,-D10/(IS!D8*4)*365)</f>
        <v>78.246414967510646</v>
      </c>
      <c r="E40" s="288">
        <f>IF(IS!E8=0,0,-E10/(IS!E8*4)*365)</f>
        <v>86.708144796380083</v>
      </c>
      <c r="F40" s="288">
        <f>IF(IS!F8=0,0,-F10/(IS!F8*4)*365)</f>
        <v>59.453619064045078</v>
      </c>
      <c r="G40" s="288">
        <f>IF(IS!G8=0,0,-G10/(IS!G8*4)*365)</f>
        <v>105.91795965865012</v>
      </c>
      <c r="H40" s="288">
        <f>IF(IS!H8=0,0,-H10/(IS!H8*4)*365)</f>
        <v>119.10602361944977</v>
      </c>
      <c r="I40" s="288">
        <f>IF(IS!I8=0,0,-I10/(IS!I8*4)*365)</f>
        <v>114.65444111776448</v>
      </c>
      <c r="J40" s="288">
        <f>IF(IS!J8=0,0,-J10/(IS!J8*4)*365)</f>
        <v>115.06385032750023</v>
      </c>
      <c r="K40" s="288">
        <f>IF(IS!K8=0,0,-K10/(IS!K8*4)*365)</f>
        <v>119.65691058598779</v>
      </c>
      <c r="L40" s="288">
        <f>IF(IS!L8=0,0,-L10/(IS!L8/Assumptions!M13*4)*365)</f>
        <v>120.00000000000001</v>
      </c>
      <c r="M40" s="288">
        <f>IF(IS!M8=0,0,-M10/(IS!M8/Assumptions!N13*4)*365)</f>
        <v>120</v>
      </c>
      <c r="N40" s="288">
        <f>IF(IS!N8=0,0,-N10/(IS!N8/Assumptions!O13*4)*365)</f>
        <v>120.00000000000001</v>
      </c>
      <c r="O40" s="288">
        <f>IF(IS!O8=0,0,-O10/(IS!O8/Assumptions!P13*4)*365)</f>
        <v>120</v>
      </c>
      <c r="P40" s="288">
        <f>IF(IS!P8=0,0,-P10/(IS!P8/Assumptions!Q13*4)*365)</f>
        <v>120</v>
      </c>
      <c r="Q40" s="288">
        <f>IF(IS!Q8=0,0,-Q10/(IS!Q8/Assumptions!R13*4)*365)</f>
        <v>120.00000000000001</v>
      </c>
      <c r="R40" s="288">
        <f>IF(IS!R8=0,0,-R10/(IS!R8/Assumptions!S13*4)*365)</f>
        <v>115</v>
      </c>
      <c r="S40" s="288">
        <f>IF(IS!S8=0,0,-S10/(IS!S8/Assumptions!T13*4)*365)</f>
        <v>115</v>
      </c>
      <c r="T40" s="288">
        <f>IF(IS!T8=0,0,-T10/(IS!T8/Assumptions!U13*4)*365)</f>
        <v>115</v>
      </c>
      <c r="U40" s="288">
        <f>IF(IS!U8=0,0,-U10/(IS!U8/Assumptions!V13*4)*365)</f>
        <v>115</v>
      </c>
      <c r="W40" s="288">
        <f>IF(IS!W8=0,0,-W10/IS!W8*365)</f>
        <v>112.72749555732582</v>
      </c>
      <c r="X40" s="288">
        <f>IF(IS!X8=0,0,-X10/IS!X8*365)</f>
        <v>125.043537414966</v>
      </c>
      <c r="Y40" s="288">
        <f>IF(IS!Y8=0,0,-Y10/IS!Y8*365)</f>
        <v>152.40149054015487</v>
      </c>
      <c r="Z40" s="288">
        <f>IF(IS!Z8=0,0,-Z10/IS!Z8*365)</f>
        <v>136.82285078689304</v>
      </c>
      <c r="AA40" s="288">
        <f>IF(IS!AA8=0,0,-AA10/IS!AA8*365)</f>
        <v>121.77607072868787</v>
      </c>
      <c r="AB40" s="58" t="s">
        <v>1058</v>
      </c>
    </row>
    <row r="41" spans="1:29" ht="15" customHeight="1" x14ac:dyDescent="0.15">
      <c r="A41" s="58" t="s">
        <v>754</v>
      </c>
      <c r="B41" s="288">
        <f>IF(IS!B8=0,0,-B21/(IS!B8*4)*365)</f>
        <v>43.941778999645265</v>
      </c>
      <c r="C41" s="288">
        <f>IF(IS!C8=0,0,-C21/(IS!C8*4)*365)</f>
        <v>44.977230109831233</v>
      </c>
      <c r="D41" s="288">
        <f>IF(IS!D8=0,0,-D21/(IS!D8*4)*365)</f>
        <v>54.723420345059381</v>
      </c>
      <c r="E41" s="288">
        <f>IF(IS!E8=0,0,-E21/(IS!E8*4)*365)</f>
        <v>54.278610482654599</v>
      </c>
      <c r="F41" s="288">
        <f>IF(IS!F8=0,0,-F21/(IS!F8*4)*365)</f>
        <v>38.458879498677703</v>
      </c>
      <c r="G41" s="288">
        <f>IF(IS!G8=0,0,-G21/(IS!G8*4)*365)</f>
        <v>64.165244375484875</v>
      </c>
      <c r="H41" s="288">
        <f>IF(IS!H8=0,0,-H21/(IS!H8*4)*365)</f>
        <v>51.919245233225574</v>
      </c>
      <c r="I41" s="288">
        <f>IF(IS!I8=0,0,-I21/(IS!I8*4)*365)</f>
        <v>52.562228484208049</v>
      </c>
      <c r="J41" s="288">
        <f>IF(IS!J8=0,0,-J21/(IS!J8*4)*365)</f>
        <v>58.417306188288208</v>
      </c>
      <c r="K41" s="288">
        <f>IF(IS!K8=0,0,-K21/(IS!K8*4)*365)</f>
        <v>57.067724988579258</v>
      </c>
      <c r="L41" s="288">
        <f>IF(IS!L8=0,0,-L21/(IS!L8/Assumptions!M13*4)*365)</f>
        <v>55</v>
      </c>
      <c r="M41" s="288">
        <f>IF(IS!M8=0,0,-M21/(IS!M8/Assumptions!N13*4)*365)</f>
        <v>55.000000000000007</v>
      </c>
      <c r="N41" s="288">
        <f>IF(IS!N8=0,0,-N21/(IS!N8/Assumptions!O13*4)*365)</f>
        <v>55</v>
      </c>
      <c r="O41" s="288">
        <f>IF(IS!O8=0,0,-O21/(IS!O8/Assumptions!P13*4)*365)</f>
        <v>55.000000000000007</v>
      </c>
      <c r="P41" s="288">
        <f>IF(IS!P8=0,0,-P21/(IS!P8/Assumptions!Q13*4)*365)</f>
        <v>55</v>
      </c>
      <c r="Q41" s="288">
        <f>IF(IS!Q8=0,0,-Q21/(IS!Q8/Assumptions!R13*4)*365)</f>
        <v>55</v>
      </c>
      <c r="R41" s="288">
        <f>IF(IS!R8=0,0,-R21/(IS!R8/Assumptions!S13*4)*365)</f>
        <v>55</v>
      </c>
      <c r="S41" s="288">
        <f>IF(IS!S8=0,0,-S21/(IS!S8/Assumptions!T13*4)*365)</f>
        <v>55.000000000000007</v>
      </c>
      <c r="T41" s="288">
        <f>IF(IS!T8=0,0,-T21/(IS!T8/Assumptions!U13*4)*365)</f>
        <v>55.000000000000007</v>
      </c>
      <c r="U41" s="288">
        <f>IF(IS!U8=0,0,-U21/(IS!U8/Assumptions!V13*4)*365)</f>
        <v>55.000000000000007</v>
      </c>
      <c r="W41" s="288">
        <f>IF(IS!W8=0,0,-W21/IS!W8*365)</f>
        <v>70.566517556222806</v>
      </c>
      <c r="X41" s="288">
        <f>IF(IS!X8=0,0,-X21/IS!X8*365)</f>
        <v>57.325010004001605</v>
      </c>
      <c r="Y41" s="288">
        <f>IF(IS!Y8=0,0,-Y21/IS!Y8*365)</f>
        <v>69.850683164237665</v>
      </c>
      <c r="Z41" s="288">
        <f>IF(IS!Z8=0,0,-Z21/IS!Z8*365)</f>
        <v>62.710473277325974</v>
      </c>
      <c r="AA41" s="288">
        <f>IF(IS!AA8=0,0,-AA21/IS!AA8*365)</f>
        <v>58.240729478937681</v>
      </c>
      <c r="AB41" s="58" t="s">
        <v>1059</v>
      </c>
    </row>
  </sheetData>
  <phoneticPr fontId="61" type="noConversion"/>
  <pageMargins left="0.75" right="0.75" top="1" bottom="1" header="0.511811023622047" footer="0.511811023622047"/>
  <pageSetup paperSize="9"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39"/>
  <sheetViews>
    <sheetView showGridLines="0" zoomScale="150" zoomScaleNormal="150" workbookViewId="0">
      <pane xSplit="1" ySplit="6" topLeftCell="R15" activePane="bottomRight" state="frozen"/>
      <selection pane="topRight" activeCell="R1" sqref="R1"/>
      <selection pane="bottomLeft" activeCell="A15" sqref="A15"/>
      <selection pane="bottomRight" activeCell="W12" sqref="W12"/>
    </sheetView>
  </sheetViews>
  <sheetFormatPr baseColWidth="10" defaultColWidth="9.5" defaultRowHeight="14" x14ac:dyDescent="0.15"/>
  <cols>
    <col min="1" max="1" width="50" customWidth="1"/>
    <col min="2" max="21" width="14.1640625" customWidth="1"/>
    <col min="22" max="22" width="2.1640625" customWidth="1"/>
    <col min="23" max="27" width="14.1640625" customWidth="1"/>
    <col min="28" max="29" width="56.6640625" customWidth="1"/>
  </cols>
  <sheetData>
    <row r="1" spans="1:30" ht="21.75" customHeight="1" x14ac:dyDescent="0.2">
      <c r="A1" s="68" t="s">
        <v>1060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30" ht="15" customHeight="1" x14ac:dyDescent="0.15">
      <c r="A2" s="56" t="s">
        <v>646</v>
      </c>
    </row>
    <row r="3" spans="1:30" ht="15" customHeight="1" x14ac:dyDescent="0.15">
      <c r="A3" s="57" t="s">
        <v>647</v>
      </c>
    </row>
    <row r="4" spans="1:30" ht="15" customHeight="1" x14ac:dyDescent="0.15">
      <c r="A4" s="73" t="s">
        <v>215</v>
      </c>
      <c r="B4" s="98" t="s">
        <v>648</v>
      </c>
      <c r="C4" s="98" t="s">
        <v>649</v>
      </c>
      <c r="D4" s="98" t="s">
        <v>650</v>
      </c>
      <c r="E4" s="98" t="s">
        <v>651</v>
      </c>
      <c r="F4" s="98" t="s">
        <v>652</v>
      </c>
      <c r="G4" s="98" t="s">
        <v>653</v>
      </c>
      <c r="H4" s="98" t="s">
        <v>654</v>
      </c>
      <c r="I4" s="98" t="s">
        <v>655</v>
      </c>
      <c r="J4" s="98" t="s">
        <v>656</v>
      </c>
      <c r="K4" s="98" t="s">
        <v>657</v>
      </c>
      <c r="L4" s="98" t="s">
        <v>658</v>
      </c>
      <c r="M4" s="98" t="s">
        <v>659</v>
      </c>
      <c r="N4" s="98" t="s">
        <v>660</v>
      </c>
      <c r="O4" s="98" t="s">
        <v>661</v>
      </c>
      <c r="P4" s="98" t="s">
        <v>662</v>
      </c>
      <c r="Q4" s="98" t="s">
        <v>663</v>
      </c>
      <c r="R4" s="98" t="s">
        <v>664</v>
      </c>
      <c r="S4" s="98" t="s">
        <v>665</v>
      </c>
      <c r="T4" s="98" t="s">
        <v>666</v>
      </c>
      <c r="U4" s="98" t="s">
        <v>667</v>
      </c>
      <c r="V4" s="211"/>
      <c r="W4" s="98" t="s">
        <v>651</v>
      </c>
      <c r="X4" s="98" t="s">
        <v>655</v>
      </c>
      <c r="Y4" s="98" t="s">
        <v>659</v>
      </c>
      <c r="Z4" s="98" t="s">
        <v>663</v>
      </c>
      <c r="AA4" s="98" t="s">
        <v>667</v>
      </c>
      <c r="AB4" s="69"/>
      <c r="AC4" s="69"/>
    </row>
    <row r="5" spans="1:30" ht="15" customHeight="1" x14ac:dyDescent="0.15">
      <c r="A5" s="73" t="s">
        <v>668</v>
      </c>
      <c r="B5" s="74" t="s">
        <v>669</v>
      </c>
      <c r="C5" s="74" t="s">
        <v>670</v>
      </c>
      <c r="D5" s="74" t="s">
        <v>671</v>
      </c>
      <c r="E5" s="74" t="s">
        <v>672</v>
      </c>
      <c r="F5" s="74" t="s">
        <v>673</v>
      </c>
      <c r="G5" s="74" t="s">
        <v>674</v>
      </c>
      <c r="H5" s="74" t="s">
        <v>675</v>
      </c>
      <c r="I5" s="74" t="s">
        <v>676</v>
      </c>
      <c r="J5" s="74" t="s">
        <v>677</v>
      </c>
      <c r="K5" s="74" t="s">
        <v>678</v>
      </c>
      <c r="L5" s="74" t="s">
        <v>547</v>
      </c>
      <c r="M5" s="74" t="s">
        <v>548</v>
      </c>
      <c r="N5" s="74" t="s">
        <v>679</v>
      </c>
      <c r="O5" s="74" t="s">
        <v>680</v>
      </c>
      <c r="P5" s="74" t="s">
        <v>681</v>
      </c>
      <c r="Q5" s="74" t="s">
        <v>682</v>
      </c>
      <c r="R5" s="74" t="s">
        <v>683</v>
      </c>
      <c r="S5" s="74" t="s">
        <v>684</v>
      </c>
      <c r="T5" s="74" t="s">
        <v>685</v>
      </c>
      <c r="U5" s="74" t="s">
        <v>686</v>
      </c>
      <c r="V5" s="231"/>
      <c r="W5" s="74" t="s">
        <v>687</v>
      </c>
      <c r="X5" s="74" t="s">
        <v>549</v>
      </c>
      <c r="Y5" s="74" t="s">
        <v>236</v>
      </c>
      <c r="Z5" s="74" t="s">
        <v>237</v>
      </c>
      <c r="AA5" s="74" t="s">
        <v>238</v>
      </c>
      <c r="AB5" s="73"/>
      <c r="AC5" s="73"/>
    </row>
    <row r="6" spans="1:30" ht="15" customHeight="1" x14ac:dyDescent="0.15">
      <c r="A6" s="56" t="s">
        <v>358</v>
      </c>
      <c r="B6" s="232" t="s">
        <v>359</v>
      </c>
      <c r="C6" s="232" t="s">
        <v>359</v>
      </c>
      <c r="D6" s="232" t="s">
        <v>359</v>
      </c>
      <c r="E6" s="232" t="s">
        <v>359</v>
      </c>
      <c r="F6" s="232" t="s">
        <v>359</v>
      </c>
      <c r="G6" s="232" t="s">
        <v>359</v>
      </c>
      <c r="H6" s="232" t="s">
        <v>359</v>
      </c>
      <c r="I6" s="232" t="s">
        <v>359</v>
      </c>
      <c r="J6" s="232" t="s">
        <v>359</v>
      </c>
      <c r="K6" s="232" t="s">
        <v>359</v>
      </c>
      <c r="L6" s="232" t="s">
        <v>551</v>
      </c>
      <c r="M6" s="232" t="s">
        <v>551</v>
      </c>
      <c r="N6" s="232" t="s">
        <v>551</v>
      </c>
      <c r="O6" s="232" t="s">
        <v>551</v>
      </c>
      <c r="P6" s="232" t="s">
        <v>551</v>
      </c>
      <c r="Q6" s="232" t="s">
        <v>551</v>
      </c>
      <c r="R6" s="232" t="s">
        <v>551</v>
      </c>
      <c r="S6" s="232" t="s">
        <v>551</v>
      </c>
      <c r="T6" s="232" t="s">
        <v>551</v>
      </c>
      <c r="U6" s="232" t="s">
        <v>551</v>
      </c>
      <c r="V6" s="211"/>
      <c r="W6" s="232" t="s">
        <v>359</v>
      </c>
      <c r="X6" s="232" t="s">
        <v>359</v>
      </c>
      <c r="Y6" s="232" t="s">
        <v>551</v>
      </c>
      <c r="Z6" s="232" t="s">
        <v>551</v>
      </c>
      <c r="AA6" s="232" t="s">
        <v>551</v>
      </c>
    </row>
    <row r="7" spans="1:30" ht="15" customHeight="1" x14ac:dyDescent="0.15">
      <c r="A7" s="57" t="s">
        <v>85</v>
      </c>
      <c r="B7" s="77">
        <f>IS!B22</f>
        <v>14881</v>
      </c>
      <c r="C7" s="77">
        <f>IS!C22</f>
        <v>16599</v>
      </c>
      <c r="D7" s="77">
        <f>IS!D22</f>
        <v>19309</v>
      </c>
      <c r="E7" s="77">
        <f>IS!E22</f>
        <v>22091</v>
      </c>
      <c r="F7" s="77">
        <f>IS!F22</f>
        <v>18775</v>
      </c>
      <c r="G7" s="77">
        <f>IS!G22</f>
        <v>26422</v>
      </c>
      <c r="H7" s="77">
        <f>IS!H22</f>
        <v>31910</v>
      </c>
      <c r="I7" s="77">
        <f>IS!I22</f>
        <v>42960</v>
      </c>
      <c r="J7" s="77">
        <f>IS!J22</f>
        <v>58321</v>
      </c>
      <c r="K7" s="77">
        <f>IS!K22</f>
        <v>59688</v>
      </c>
      <c r="L7" s="77">
        <f>IS!L22</f>
        <v>59108.64957364594</v>
      </c>
      <c r="M7" s="77">
        <f>IS!M22</f>
        <v>62712.464057726072</v>
      </c>
      <c r="N7" s="77">
        <f>IS!N22</f>
        <v>77103.178558634259</v>
      </c>
      <c r="O7" s="77">
        <f>IS!O22</f>
        <v>89553.14517105688</v>
      </c>
      <c r="P7" s="77">
        <f>IS!P22</f>
        <v>100627.74002293445</v>
      </c>
      <c r="Q7" s="77">
        <f>IS!Q22</f>
        <v>110300.14396042029</v>
      </c>
      <c r="R7" s="77">
        <f>IS!R22</f>
        <v>119355.33035329448</v>
      </c>
      <c r="S7" s="77">
        <f>IS!S22</f>
        <v>126215.59682409864</v>
      </c>
      <c r="T7" s="77">
        <f>IS!T22</f>
        <v>131849.74321543108</v>
      </c>
      <c r="U7" s="77">
        <f>IS!U22</f>
        <v>136445.47768767958</v>
      </c>
      <c r="W7" s="77">
        <f>IS!W22</f>
        <v>72880</v>
      </c>
      <c r="X7" s="77">
        <f>IS!X22</f>
        <v>120067</v>
      </c>
      <c r="Y7" s="77">
        <f>IS!Y22</f>
        <v>239830.11363137202</v>
      </c>
      <c r="Z7" s="77">
        <f>IS!Z22</f>
        <v>377584.20771304588</v>
      </c>
      <c r="AA7" s="77">
        <f>IS!AA22</f>
        <v>513866.1480805038</v>
      </c>
    </row>
    <row r="8" spans="1:30" ht="15" customHeight="1" x14ac:dyDescent="0.15">
      <c r="A8" s="57" t="s">
        <v>1061</v>
      </c>
      <c r="B8" s="245">
        <f>Raw_Data!B55</f>
        <v>410</v>
      </c>
      <c r="C8" s="245">
        <f>Raw_Data!C55</f>
        <v>433</v>
      </c>
      <c r="D8" s="245">
        <f>Raw_Data!D55</f>
        <v>478</v>
      </c>
      <c r="E8" s="245">
        <f>Raw_Data!E55</f>
        <v>543</v>
      </c>
      <c r="F8" s="245">
        <f>Raw_Data!F55</f>
        <v>611</v>
      </c>
      <c r="G8" s="245">
        <f>Raw_Data!G55</f>
        <v>669</v>
      </c>
      <c r="H8" s="245">
        <f>Raw_Data!H55</f>
        <v>751</v>
      </c>
      <c r="I8" s="245">
        <f>Raw_Data!I55</f>
        <v>812</v>
      </c>
      <c r="J8" s="245">
        <f>Raw_Data!J55</f>
        <v>997</v>
      </c>
      <c r="K8" s="245">
        <f>Raw_Data!K55</f>
        <v>1127</v>
      </c>
      <c r="L8" s="77">
        <f t="shared" ref="L8:U8" si="0">L35+L36</f>
        <v>1285.6499999999999</v>
      </c>
      <c r="M8" s="77">
        <f t="shared" si="0"/>
        <v>1476.7436448496796</v>
      </c>
      <c r="N8" s="77">
        <f t="shared" si="0"/>
        <v>1676.5451679154244</v>
      </c>
      <c r="O8" s="77">
        <f t="shared" si="0"/>
        <v>1924.4115617108284</v>
      </c>
      <c r="P8" s="77">
        <f t="shared" si="0"/>
        <v>2206.5060539258038</v>
      </c>
      <c r="Q8" s="77">
        <f t="shared" si="0"/>
        <v>2513.834248107255</v>
      </c>
      <c r="R8" s="77">
        <f t="shared" si="0"/>
        <v>2837.5436881843102</v>
      </c>
      <c r="S8" s="77">
        <f t="shared" si="0"/>
        <v>3173.7863670419351</v>
      </c>
      <c r="T8" s="77">
        <f t="shared" si="0"/>
        <v>3511.2608156865199</v>
      </c>
      <c r="U8" s="77">
        <f t="shared" si="0"/>
        <v>3844.2723273732909</v>
      </c>
      <c r="W8" s="77">
        <f>SUM(B8:E8)</f>
        <v>1864</v>
      </c>
      <c r="X8" s="77">
        <f>SUM(F8:I8)</f>
        <v>2843</v>
      </c>
      <c r="Y8" s="77">
        <f t="shared" ref="Y8:Y25" si="1">SUM(J8:M8)</f>
        <v>4886.3936448496788</v>
      </c>
      <c r="Z8" s="77">
        <f t="shared" ref="Z8:Z25" si="2">SUM(N8:Q8)</f>
        <v>8321.2970316593128</v>
      </c>
      <c r="AA8" s="77">
        <f t="shared" ref="AA8:AA25" si="3">SUM(R8:U8)</f>
        <v>13366.863198286057</v>
      </c>
      <c r="AB8" s="58" t="s">
        <v>1062</v>
      </c>
    </row>
    <row r="9" spans="1:30" ht="15" customHeight="1" x14ac:dyDescent="0.15">
      <c r="A9" s="57" t="s">
        <v>898</v>
      </c>
      <c r="B9" s="245">
        <f>Raw_Data!B56</f>
        <v>1011</v>
      </c>
      <c r="C9" s="245">
        <f>Raw_Data!C56</f>
        <v>1153</v>
      </c>
      <c r="D9" s="245">
        <f>Raw_Data!D56</f>
        <v>1252</v>
      </c>
      <c r="E9" s="245">
        <f>Raw_Data!E56</f>
        <v>1321</v>
      </c>
      <c r="F9" s="245">
        <f>Raw_Data!F56</f>
        <v>1474</v>
      </c>
      <c r="G9" s="245">
        <f>Raw_Data!G56</f>
        <v>1625</v>
      </c>
      <c r="H9" s="245">
        <f>Raw_Data!H56</f>
        <v>1654</v>
      </c>
      <c r="I9" s="245">
        <f>Raw_Data!I56</f>
        <v>1633</v>
      </c>
      <c r="J9" s="245">
        <f>Raw_Data!J56</f>
        <v>1928</v>
      </c>
      <c r="K9" s="245">
        <f>Raw_Data!K56</f>
        <v>2026</v>
      </c>
      <c r="L9" s="77">
        <f>Assumptions!M30</f>
        <v>2100</v>
      </c>
      <c r="M9" s="77">
        <f>Assumptions!N30</f>
        <v>2160</v>
      </c>
      <c r="N9" s="77">
        <f>Assumptions!O30</f>
        <v>2220</v>
      </c>
      <c r="O9" s="77">
        <f>Assumptions!P30</f>
        <v>2280</v>
      </c>
      <c r="P9" s="77">
        <f>Assumptions!Q30</f>
        <v>2340</v>
      </c>
      <c r="Q9" s="77">
        <f>Assumptions!R30</f>
        <v>2400</v>
      </c>
      <c r="R9" s="77">
        <f>Assumptions!S30</f>
        <v>2460</v>
      </c>
      <c r="S9" s="77">
        <f>Assumptions!T30</f>
        <v>2520</v>
      </c>
      <c r="T9" s="77">
        <f>Assumptions!U30</f>
        <v>2580</v>
      </c>
      <c r="U9" s="77">
        <f>Assumptions!V30</f>
        <v>2640</v>
      </c>
      <c r="W9" s="77">
        <f>SUM(B9:E9)</f>
        <v>4737</v>
      </c>
      <c r="X9" s="77">
        <f>SUM(F9:I9)</f>
        <v>6386</v>
      </c>
      <c r="Y9" s="77">
        <f t="shared" si="1"/>
        <v>8214</v>
      </c>
      <c r="Z9" s="77">
        <f t="shared" si="2"/>
        <v>9240</v>
      </c>
      <c r="AA9" s="77">
        <f t="shared" si="3"/>
        <v>10200</v>
      </c>
    </row>
    <row r="10" spans="1:30" ht="15" customHeight="1" x14ac:dyDescent="0.15">
      <c r="A10" s="57" t="s">
        <v>1063</v>
      </c>
      <c r="B10" s="77">
        <f t="shared" ref="B10:K10" si="4">B16-B7-B8-B9</f>
        <v>-957</v>
      </c>
      <c r="C10" s="77">
        <f t="shared" si="4"/>
        <v>-3697</v>
      </c>
      <c r="D10" s="77">
        <f t="shared" si="4"/>
        <v>-3412</v>
      </c>
      <c r="E10" s="77">
        <f t="shared" si="4"/>
        <v>-7326</v>
      </c>
      <c r="F10" s="77">
        <f t="shared" si="4"/>
        <v>6554</v>
      </c>
      <c r="G10" s="77">
        <f t="shared" si="4"/>
        <v>-13351</v>
      </c>
      <c r="H10" s="77">
        <f t="shared" si="4"/>
        <v>-10564</v>
      </c>
      <c r="I10" s="77">
        <f t="shared" si="4"/>
        <v>-9217</v>
      </c>
      <c r="J10" s="77">
        <f t="shared" si="4"/>
        <v>-10902</v>
      </c>
      <c r="K10" s="77">
        <f t="shared" si="4"/>
        <v>-38764</v>
      </c>
      <c r="L10" s="77">
        <f t="shared" ref="L10:U10" si="5">SUM(L11:L15)</f>
        <v>-9506.4596170258137</v>
      </c>
      <c r="M10" s="77">
        <f t="shared" si="5"/>
        <v>-7858.4609830658974</v>
      </c>
      <c r="N10" s="77">
        <f t="shared" si="5"/>
        <v>-14545.681767770369</v>
      </c>
      <c r="O10" s="77">
        <f t="shared" si="5"/>
        <v>-12345.483820047066</v>
      </c>
      <c r="P10" s="77">
        <f t="shared" si="5"/>
        <v>-11028.817365464067</v>
      </c>
      <c r="Q10" s="77">
        <f t="shared" si="5"/>
        <v>-9616.5351682571309</v>
      </c>
      <c r="R10" s="77">
        <f t="shared" si="5"/>
        <v>-6151.0215639040907</v>
      </c>
      <c r="S10" s="77">
        <f t="shared" si="5"/>
        <v>-6890.4057948098362</v>
      </c>
      <c r="T10" s="77">
        <f t="shared" si="5"/>
        <v>-5668.730228154518</v>
      </c>
      <c r="U10" s="77">
        <f t="shared" si="5"/>
        <v>-4627.1261198401735</v>
      </c>
      <c r="W10" s="77">
        <f>SUM(B10:E10)</f>
        <v>-15392</v>
      </c>
      <c r="X10" s="77">
        <f>SUM(F10:I10)</f>
        <v>-26578</v>
      </c>
      <c r="Y10" s="77">
        <f t="shared" si="1"/>
        <v>-67030.920600091718</v>
      </c>
      <c r="Z10" s="77">
        <f t="shared" si="2"/>
        <v>-47536.51812153864</v>
      </c>
      <c r="AA10" s="77">
        <f t="shared" si="3"/>
        <v>-23337.283706708618</v>
      </c>
      <c r="AB10" s="58" t="s">
        <v>1064</v>
      </c>
      <c r="AD10" s="58" t="s">
        <v>1065</v>
      </c>
    </row>
    <row r="11" spans="1:30" ht="15" customHeight="1" x14ac:dyDescent="0.15">
      <c r="A11" s="57" t="s">
        <v>1066</v>
      </c>
      <c r="C11" s="77">
        <f>-(Raw_Data!C28-Raw_Data!B28)</f>
        <v>-1767</v>
      </c>
      <c r="D11" s="77">
        <f>-(Raw_Data!D28-Raw_Data!C28)</f>
        <v>-3561</v>
      </c>
      <c r="E11" s="77">
        <f>-(Raw_Data!E28-Raw_Data!D28)</f>
        <v>-5372</v>
      </c>
      <c r="F11" s="77">
        <f>-(Raw_Data!F28-Raw_Data!E28)</f>
        <v>933</v>
      </c>
      <c r="G11" s="77">
        <f>-(Raw_Data!G28-Raw_Data!F28)</f>
        <v>-5676</v>
      </c>
      <c r="H11" s="77">
        <f>-(Raw_Data!H28-Raw_Data!G28)</f>
        <v>-5583</v>
      </c>
      <c r="I11" s="77">
        <f>-(Raw_Data!I28-Raw_Data!H28)</f>
        <v>-5075</v>
      </c>
      <c r="J11" s="77">
        <f>-(Raw_Data!J28-Raw_Data!I28)</f>
        <v>-2244</v>
      </c>
      <c r="K11" s="77">
        <f>-(Raw_Data!K28-Raw_Data!J28)</f>
        <v>-22349</v>
      </c>
      <c r="L11" s="77">
        <f>-(BS!L9-BS!K9)</f>
        <v>-9026.7582586739736</v>
      </c>
      <c r="M11" s="77">
        <f>-(BS!M9-BS!L9)</f>
        <v>-6308.993912337537</v>
      </c>
      <c r="N11" s="77">
        <f>-(BS!N9-BS!M9)</f>
        <v>-16084.507228146394</v>
      </c>
      <c r="O11" s="77">
        <f>-(BS!O9-BS!N9)</f>
        <v>-13768.298048379351</v>
      </c>
      <c r="P11" s="77">
        <f>-(BS!P9-BS!O9)</f>
        <v>-12328.086761844475</v>
      </c>
      <c r="Q11" s="77">
        <f>-(BS!Q9-BS!P9)</f>
        <v>-10725.304930760249</v>
      </c>
      <c r="R11" s="77">
        <f>-(BS!R9-BS!Q9)</f>
        <v>-10147.236136987456</v>
      </c>
      <c r="S11" s="77">
        <f>-(BS!S9-BS!R9)</f>
        <v>-7669.6769276458654</v>
      </c>
      <c r="T11" s="77">
        <f>-(BS!T9-BS!S9)</f>
        <v>-6309.8358405356121</v>
      </c>
      <c r="U11" s="77">
        <f>-(BS!U9-BS!T9)</f>
        <v>-5150.4314113658038</v>
      </c>
      <c r="Y11" s="77">
        <f t="shared" si="1"/>
        <v>-39928.752171011511</v>
      </c>
      <c r="Z11" s="77">
        <f t="shared" si="2"/>
        <v>-52906.196969130469</v>
      </c>
      <c r="AA11" s="77">
        <f t="shared" si="3"/>
        <v>-29277.180316534737</v>
      </c>
      <c r="AB11" s="58" t="s">
        <v>1067</v>
      </c>
    </row>
    <row r="12" spans="1:30" ht="15" customHeight="1" x14ac:dyDescent="0.15">
      <c r="A12" s="57" t="s">
        <v>1068</v>
      </c>
      <c r="C12" s="77">
        <f>-(Raw_Data!C29-Raw_Data!B29)</f>
        <v>-811</v>
      </c>
      <c r="D12" s="77">
        <f>-(Raw_Data!D29-Raw_Data!C29)</f>
        <v>-979</v>
      </c>
      <c r="E12" s="77">
        <f>-(Raw_Data!E29-Raw_Data!D29)</f>
        <v>-2426</v>
      </c>
      <c r="F12" s="77">
        <f>-(Raw_Data!F29-Raw_Data!E29)</f>
        <v>-1253</v>
      </c>
      <c r="G12" s="77">
        <f>-(Raw_Data!G29-Raw_Data!F29)</f>
        <v>-3629</v>
      </c>
      <c r="H12" s="77">
        <f>-(Raw_Data!H29-Raw_Data!G29)</f>
        <v>-4822</v>
      </c>
      <c r="I12" s="77">
        <f>-(Raw_Data!I29-Raw_Data!H29)</f>
        <v>-1619</v>
      </c>
      <c r="J12" s="77">
        <f>-(Raw_Data!J29-Raw_Data!I29)</f>
        <v>-4394</v>
      </c>
      <c r="K12" s="77">
        <f>-(Raw_Data!K29-Raw_Data!J29)</f>
        <v>-5778</v>
      </c>
      <c r="L12" s="77">
        <f>-(BS!L10-BS!K10)</f>
        <v>-5909.5942945104689</v>
      </c>
      <c r="M12" s="77">
        <f>-(BS!M10-BS!L10)</f>
        <v>-7200.4144429660955</v>
      </c>
      <c r="N12" s="77">
        <f>-(BS!N10-BS!M10)</f>
        <v>-8223.3765260518776</v>
      </c>
      <c r="O12" s="77">
        <f>-(BS!O10-BS!N10)</f>
        <v>-6844.2664475121273</v>
      </c>
      <c r="P12" s="77">
        <f>-(BS!P10-BS!O10)</f>
        <v>-6081.6500272818666</v>
      </c>
      <c r="Q12" s="77">
        <f>-(BS!Q10-BS!P10)</f>
        <v>-5330.8126956345222</v>
      </c>
      <c r="R12" s="77">
        <f>-(BS!R10-BS!Q10)</f>
        <v>-2305.4304687386903</v>
      </c>
      <c r="S12" s="77">
        <f>-(BS!S10-BS!R10)</f>
        <v>-3983.7580241680553</v>
      </c>
      <c r="T12" s="77">
        <f>-(BS!T10-BS!S10)</f>
        <v>-3277.4338995048747</v>
      </c>
      <c r="U12" s="77">
        <f>-(BS!U10-BS!T10)</f>
        <v>-2675.2199155869312</v>
      </c>
      <c r="Y12" s="77">
        <f t="shared" si="1"/>
        <v>-23282.008737476564</v>
      </c>
      <c r="Z12" s="77">
        <f t="shared" si="2"/>
        <v>-26480.105696480394</v>
      </c>
      <c r="AA12" s="77">
        <f t="shared" si="3"/>
        <v>-12241.842307998551</v>
      </c>
    </row>
    <row r="13" spans="1:30" ht="15" customHeight="1" x14ac:dyDescent="0.15">
      <c r="A13" s="57" t="s">
        <v>1069</v>
      </c>
      <c r="C13" s="77">
        <f>-(Raw_Data!C30-Raw_Data!B30)</f>
        <v>36</v>
      </c>
      <c r="D13" s="77">
        <f>-(Raw_Data!D30-Raw_Data!C30)</f>
        <v>220</v>
      </c>
      <c r="E13" s="77">
        <f>-(Raw_Data!E30-Raw_Data!D30)</f>
        <v>35</v>
      </c>
      <c r="F13" s="77">
        <f>-(Raw_Data!F30-Raw_Data!E30)</f>
        <v>992</v>
      </c>
      <c r="G13" s="77">
        <f>-(Raw_Data!G30-Raw_Data!F30)</f>
        <v>121</v>
      </c>
      <c r="H13" s="77">
        <f>-(Raw_Data!H30-Raw_Data!G30)</f>
        <v>-51</v>
      </c>
      <c r="I13" s="77">
        <f>-(Raw_Data!I30-Raw_Data!H30)</f>
        <v>-471</v>
      </c>
      <c r="J13" s="77">
        <f>-(Raw_Data!J30-Raw_Data!I30)</f>
        <v>-736</v>
      </c>
      <c r="K13" s="77">
        <f>-(Raw_Data!K30-Raw_Data!J30)</f>
        <v>507</v>
      </c>
      <c r="L13" s="77">
        <f>-(BS!L11-BS!K11)</f>
        <v>-428.06484064400001</v>
      </c>
      <c r="M13" s="77">
        <f>-(BS!M11-BS!L11)</f>
        <v>-335.82248845880031</v>
      </c>
      <c r="N13" s="77">
        <f>-(BS!N11-BS!M11)</f>
        <v>-856.16491599820984</v>
      </c>
      <c r="O13" s="77">
        <f>-(BS!O11-BS!N11)</f>
        <v>-732.87503153352554</v>
      </c>
      <c r="P13" s="77">
        <f>-(BS!P11-BS!O11)</f>
        <v>-656.21378492734675</v>
      </c>
      <c r="Q13" s="77">
        <f>-(BS!Q11-BS!P11)</f>
        <v>-570.89904371025932</v>
      </c>
      <c r="R13" s="77">
        <f>-(BS!R11-BS!Q11)</f>
        <v>-540.12892354172709</v>
      </c>
      <c r="S13" s="77">
        <f>-(BS!S11-BS!R11)</f>
        <v>-408.25051146115038</v>
      </c>
      <c r="T13" s="77">
        <f>-(BS!T11-BS!S11)</f>
        <v>-335.86730359517787</v>
      </c>
      <c r="U13" s="77">
        <f>-(BS!U11-BS!T11)</f>
        <v>-274.15317200082427</v>
      </c>
      <c r="Y13" s="77">
        <f t="shared" si="1"/>
        <v>-992.88732910280032</v>
      </c>
      <c r="Z13" s="77">
        <f t="shared" si="2"/>
        <v>-2816.1527761693415</v>
      </c>
      <c r="AA13" s="77">
        <f t="shared" si="3"/>
        <v>-1558.3999105988796</v>
      </c>
    </row>
    <row r="14" spans="1:30" ht="15" customHeight="1" x14ac:dyDescent="0.15">
      <c r="A14" s="57" t="s">
        <v>1070</v>
      </c>
      <c r="C14" s="77">
        <f>Raw_Data!C39-Raw_Data!B39</f>
        <v>965</v>
      </c>
      <c r="D14" s="77">
        <f>Raw_Data!D39-Raw_Data!C39</f>
        <v>1673</v>
      </c>
      <c r="E14" s="77">
        <f>Raw_Data!E39-Raw_Data!D39</f>
        <v>957</v>
      </c>
      <c r="F14" s="77">
        <f>Raw_Data!F39-Raw_Data!E39</f>
        <v>1021</v>
      </c>
      <c r="G14" s="77">
        <f>Raw_Data!G39-Raw_Data!F39</f>
        <v>1733</v>
      </c>
      <c r="H14" s="77">
        <f>Raw_Data!H39-Raw_Data!G39</f>
        <v>-440</v>
      </c>
      <c r="I14" s="77">
        <f>Raw_Data!I39-Raw_Data!H39</f>
        <v>1188</v>
      </c>
      <c r="J14" s="77">
        <f>Raw_Data!J39-Raw_Data!I39</f>
        <v>3285</v>
      </c>
      <c r="K14" s="77">
        <f>Raw_Data!K39-Raw_Data!J39</f>
        <v>1962</v>
      </c>
      <c r="L14" s="77">
        <f>BS!L21-BS!K21</f>
        <v>2121.4390516506282</v>
      </c>
      <c r="M14" s="77">
        <f>BS!M21-BS!L21</f>
        <v>3300.1899530261326</v>
      </c>
      <c r="N14" s="77">
        <f>BS!N21-BS!M21</f>
        <v>3769.0475744404357</v>
      </c>
      <c r="O14" s="77">
        <f>BS!O21-BS!N21</f>
        <v>3136.9554551097353</v>
      </c>
      <c r="P14" s="77">
        <f>BS!P21-BS!O21</f>
        <v>2787.4229291708471</v>
      </c>
      <c r="Q14" s="77">
        <f>BS!Q21-BS!P21</f>
        <v>2443.2891521658239</v>
      </c>
      <c r="R14" s="77">
        <f>BS!R21-BS!Q21</f>
        <v>2520.7425770299669</v>
      </c>
      <c r="S14" s="77">
        <f>BS!S21-BS!R21</f>
        <v>1905.2755767760318</v>
      </c>
      <c r="T14" s="77">
        <f>BS!T21-BS!S21</f>
        <v>1567.4683867197236</v>
      </c>
      <c r="U14" s="77">
        <f>BS!U21-BS!T21</f>
        <v>1279.4530031067916</v>
      </c>
      <c r="Y14" s="77">
        <f t="shared" si="1"/>
        <v>10668.629004676761</v>
      </c>
      <c r="Z14" s="77">
        <f t="shared" si="2"/>
        <v>12136.715110886842</v>
      </c>
      <c r="AA14" s="77">
        <f t="shared" si="3"/>
        <v>7272.939543632514</v>
      </c>
    </row>
    <row r="15" spans="1:30" ht="15" customHeight="1" x14ac:dyDescent="0.15">
      <c r="A15" s="256" t="s">
        <v>1071</v>
      </c>
      <c r="B15" s="275"/>
      <c r="C15" s="77">
        <f>Raw_Data!C40-Raw_Data!B40</f>
        <v>-969</v>
      </c>
      <c r="D15" s="77">
        <f>Raw_Data!D40-Raw_Data!C40</f>
        <v>837</v>
      </c>
      <c r="E15" s="77">
        <f>Raw_Data!E40-Raw_Data!D40</f>
        <v>611</v>
      </c>
      <c r="F15" s="77">
        <f>Raw_Data!F40-Raw_Data!E40</f>
        <v>7474</v>
      </c>
      <c r="G15" s="77">
        <f>Raw_Data!G40-Raw_Data!F40</f>
        <v>-4018</v>
      </c>
      <c r="H15" s="77">
        <f>Raw_Data!H40-Raw_Data!G40</f>
        <v>1259</v>
      </c>
      <c r="I15" s="77">
        <f>Raw_Data!I40-Raw_Data!H40</f>
        <v>4900</v>
      </c>
      <c r="J15" s="77">
        <f>Raw_Data!J40-Raw_Data!I40</f>
        <v>8435</v>
      </c>
      <c r="K15" s="77">
        <f>Raw_Data!K40-Raw_Data!J40</f>
        <v>-2827</v>
      </c>
      <c r="L15" s="258">
        <f>BS!L22-BS!K22</f>
        <v>3736.5187251520001</v>
      </c>
      <c r="M15" s="258">
        <f>BS!M22-BS!L22</f>
        <v>2686.5799076704025</v>
      </c>
      <c r="N15" s="258">
        <f>BS!N22-BS!M22</f>
        <v>6849.3193279856787</v>
      </c>
      <c r="O15" s="258">
        <f>BS!O22-BS!N22</f>
        <v>5863.0002522682043</v>
      </c>
      <c r="P15" s="258">
        <f>BS!P22-BS!O22</f>
        <v>5249.710279418774</v>
      </c>
      <c r="Q15" s="258">
        <f>BS!Q22-BS!P22</f>
        <v>4567.1923496820746</v>
      </c>
      <c r="R15" s="258">
        <f>BS!R22-BS!Q22</f>
        <v>4321.0313883338167</v>
      </c>
      <c r="S15" s="258">
        <f>BS!S22-BS!R22</f>
        <v>3266.0040916892031</v>
      </c>
      <c r="T15" s="258">
        <f>BS!T22-BS!S22</f>
        <v>2686.938428761423</v>
      </c>
      <c r="U15" s="258">
        <f>BS!U22-BS!T22</f>
        <v>2193.2253760065942</v>
      </c>
      <c r="W15" s="275"/>
      <c r="X15" s="275"/>
      <c r="Y15" s="258">
        <f t="shared" si="1"/>
        <v>12031.098632822403</v>
      </c>
      <c r="Z15" s="258">
        <f t="shared" si="2"/>
        <v>22529.222209354732</v>
      </c>
      <c r="AA15" s="258">
        <f t="shared" si="3"/>
        <v>12467.199284791037</v>
      </c>
    </row>
    <row r="16" spans="1:30" ht="15" customHeight="1" x14ac:dyDescent="0.15">
      <c r="A16" s="56" t="s">
        <v>1072</v>
      </c>
      <c r="B16" s="277">
        <f>Raw_Data!B57</f>
        <v>15345</v>
      </c>
      <c r="C16" s="277">
        <f>Raw_Data!C57</f>
        <v>14488</v>
      </c>
      <c r="D16" s="277">
        <f>Raw_Data!D57</f>
        <v>17627</v>
      </c>
      <c r="E16" s="277">
        <f>Raw_Data!E57</f>
        <v>16629</v>
      </c>
      <c r="F16" s="277">
        <f>Raw_Data!F57</f>
        <v>27414</v>
      </c>
      <c r="G16" s="277">
        <f>Raw_Data!G57</f>
        <v>15365</v>
      </c>
      <c r="H16" s="277">
        <f>Raw_Data!H57</f>
        <v>23751</v>
      </c>
      <c r="I16" s="277">
        <f>Raw_Data!I57</f>
        <v>36188</v>
      </c>
      <c r="J16" s="277">
        <f>Raw_Data!J57</f>
        <v>50344</v>
      </c>
      <c r="K16" s="277">
        <f>Raw_Data!K57</f>
        <v>24077</v>
      </c>
      <c r="L16" s="260">
        <f t="shared" ref="L16:U16" si="6">L7+L8+L9+SUM(L11:L15)</f>
        <v>52987.839956620126</v>
      </c>
      <c r="M16" s="260">
        <f t="shared" si="6"/>
        <v>58490.746719509851</v>
      </c>
      <c r="N16" s="260">
        <f t="shared" si="6"/>
        <v>66454.041958779315</v>
      </c>
      <c r="O16" s="260">
        <f t="shared" si="6"/>
        <v>81412.072912720643</v>
      </c>
      <c r="P16" s="260">
        <f t="shared" si="6"/>
        <v>94145.428711396176</v>
      </c>
      <c r="Q16" s="260">
        <f t="shared" si="6"/>
        <v>105597.44304027042</v>
      </c>
      <c r="R16" s="260">
        <f t="shared" si="6"/>
        <v>118501.85247757469</v>
      </c>
      <c r="S16" s="260">
        <f t="shared" si="6"/>
        <v>125018.97739633074</v>
      </c>
      <c r="T16" s="260">
        <f t="shared" si="6"/>
        <v>132272.27380296309</v>
      </c>
      <c r="U16" s="260">
        <f t="shared" si="6"/>
        <v>138302.62389521272</v>
      </c>
      <c r="V16" s="56"/>
      <c r="W16" s="260">
        <f t="shared" ref="W16:W25" si="7">SUM(B16:E16)</f>
        <v>64089</v>
      </c>
      <c r="X16" s="260">
        <f t="shared" ref="X16:X25" si="8">SUM(F16:I16)</f>
        <v>102718</v>
      </c>
      <c r="Y16" s="260">
        <f t="shared" si="1"/>
        <v>185899.58667612998</v>
      </c>
      <c r="Z16" s="260">
        <f t="shared" si="2"/>
        <v>347608.98662316654</v>
      </c>
      <c r="AA16" s="260">
        <f t="shared" si="3"/>
        <v>514095.7275720812</v>
      </c>
      <c r="AB16" s="262"/>
      <c r="AC16" s="262"/>
    </row>
    <row r="17" spans="1:29" ht="15" customHeight="1" x14ac:dyDescent="0.15">
      <c r="A17" s="57" t="s">
        <v>1073</v>
      </c>
      <c r="B17" s="245">
        <f>-Raw_Data!B58</f>
        <v>-369</v>
      </c>
      <c r="C17" s="245">
        <f>-Raw_Data!C58</f>
        <v>-977</v>
      </c>
      <c r="D17" s="245">
        <f>-Raw_Data!D58</f>
        <v>-813</v>
      </c>
      <c r="E17" s="245">
        <f>-Raw_Data!E58</f>
        <v>-1077</v>
      </c>
      <c r="F17" s="245">
        <f>-Raw_Data!F58</f>
        <v>-1227</v>
      </c>
      <c r="G17" s="245">
        <f>-Raw_Data!G58</f>
        <v>-1895</v>
      </c>
      <c r="H17" s="245">
        <f>-Raw_Data!H58</f>
        <v>-1636</v>
      </c>
      <c r="I17" s="245">
        <f>-Raw_Data!I58</f>
        <v>-1284</v>
      </c>
      <c r="J17" s="245">
        <f>-Raw_Data!J58</f>
        <v>-1757</v>
      </c>
      <c r="K17" s="245">
        <f>-Raw_Data!K58</f>
        <v>-2677</v>
      </c>
      <c r="L17" s="77">
        <f t="shared" ref="L17:U17" si="9">-(L33+L34)</f>
        <v>-3338.9127205519999</v>
      </c>
      <c r="M17" s="77">
        <f t="shared" si="9"/>
        <v>-3626.7605678023997</v>
      </c>
      <c r="N17" s="77">
        <f t="shared" si="9"/>
        <v>-4360.6162100865795</v>
      </c>
      <c r="O17" s="77">
        <f t="shared" si="9"/>
        <v>-4988.7948085438875</v>
      </c>
      <c r="P17" s="77">
        <f t="shared" si="9"/>
        <v>-5551.2637670530412</v>
      </c>
      <c r="Q17" s="77">
        <f t="shared" si="9"/>
        <v>-6040.6058045189775</v>
      </c>
      <c r="R17" s="77">
        <f t="shared" si="9"/>
        <v>-6503.5734532690303</v>
      </c>
      <c r="S17" s="77">
        <f t="shared" si="9"/>
        <v>-6853.5024630928719</v>
      </c>
      <c r="T17" s="77">
        <f t="shared" si="9"/>
        <v>-7141.38872331731</v>
      </c>
      <c r="U17" s="77">
        <f t="shared" si="9"/>
        <v>-7376.3771564608751</v>
      </c>
      <c r="W17" s="77">
        <f t="shared" si="7"/>
        <v>-3236</v>
      </c>
      <c r="X17" s="77">
        <f t="shared" si="8"/>
        <v>-6042</v>
      </c>
      <c r="Y17" s="77">
        <f t="shared" si="1"/>
        <v>-11399.673288354399</v>
      </c>
      <c r="Z17" s="77">
        <f t="shared" si="2"/>
        <v>-20941.280590202488</v>
      </c>
      <c r="AA17" s="77">
        <f t="shared" si="3"/>
        <v>-27874.841796140088</v>
      </c>
      <c r="AB17" s="58" t="s">
        <v>1074</v>
      </c>
    </row>
    <row r="18" spans="1:29" ht="15" customHeight="1" x14ac:dyDescent="0.15">
      <c r="A18" s="256" t="s">
        <v>1075</v>
      </c>
      <c r="B18" s="258">
        <f>B19+Raw_Data!B58</f>
        <v>-5324</v>
      </c>
      <c r="C18" s="258">
        <f>C19+Raw_Data!C58</f>
        <v>-2207</v>
      </c>
      <c r="D18" s="258">
        <f>D19+Raw_Data!D58</f>
        <v>-3533</v>
      </c>
      <c r="E18" s="258">
        <f>E19+Raw_Data!E58</f>
        <v>-6121</v>
      </c>
      <c r="F18" s="258">
        <f>F19+Raw_Data!F58</f>
        <v>-3989</v>
      </c>
      <c r="G18" s="258">
        <f>G19+Raw_Data!G58</f>
        <v>-5232</v>
      </c>
      <c r="H18" s="258">
        <f>H19+Raw_Data!H58</f>
        <v>-7388</v>
      </c>
      <c r="I18" s="258">
        <f>I19+Raw_Data!I58</f>
        <v>-29577</v>
      </c>
      <c r="J18" s="258">
        <f>J19+Raw_Data!J58</f>
        <v>-24672</v>
      </c>
      <c r="K18" s="258">
        <f>K19+Raw_Data!K58</f>
        <v>-6018</v>
      </c>
      <c r="L18" s="258">
        <f t="shared" ref="L18:U18" si="10">-L37-L38-L39</f>
        <v>-10166.666666666668</v>
      </c>
      <c r="M18" s="258">
        <f t="shared" si="10"/>
        <v>-10166.666666666668</v>
      </c>
      <c r="N18" s="258">
        <f t="shared" si="10"/>
        <v>-10166.666666666668</v>
      </c>
      <c r="O18" s="258">
        <f t="shared" si="10"/>
        <v>-22066.666666666668</v>
      </c>
      <c r="P18" s="258">
        <f t="shared" si="10"/>
        <v>-10166.666666666668</v>
      </c>
      <c r="Q18" s="258">
        <f t="shared" si="10"/>
        <v>-10166.666666666668</v>
      </c>
      <c r="R18" s="258">
        <f t="shared" si="10"/>
        <v>-6000</v>
      </c>
      <c r="S18" s="258">
        <f t="shared" si="10"/>
        <v>-6000</v>
      </c>
      <c r="T18" s="258">
        <f t="shared" si="10"/>
        <v>-6000</v>
      </c>
      <c r="U18" s="258">
        <f t="shared" si="10"/>
        <v>-6000</v>
      </c>
      <c r="W18" s="258">
        <f t="shared" si="7"/>
        <v>-17185</v>
      </c>
      <c r="X18" s="258">
        <f t="shared" si="8"/>
        <v>-46186</v>
      </c>
      <c r="Y18" s="258">
        <f t="shared" si="1"/>
        <v>-51023.333333333343</v>
      </c>
      <c r="Z18" s="258">
        <f t="shared" si="2"/>
        <v>-52566.666666666672</v>
      </c>
      <c r="AA18" s="258">
        <f t="shared" si="3"/>
        <v>-24000</v>
      </c>
      <c r="AB18" s="58" t="s">
        <v>1076</v>
      </c>
    </row>
    <row r="19" spans="1:29" ht="15" customHeight="1" x14ac:dyDescent="0.15">
      <c r="A19" s="56" t="s">
        <v>1077</v>
      </c>
      <c r="B19" s="277">
        <f>Raw_Data!B59</f>
        <v>-5693</v>
      </c>
      <c r="C19" s="277">
        <f>Raw_Data!C59</f>
        <v>-3184</v>
      </c>
      <c r="D19" s="277">
        <f>Raw_Data!D59</f>
        <v>-4346</v>
      </c>
      <c r="E19" s="277">
        <f>Raw_Data!E59</f>
        <v>-7198</v>
      </c>
      <c r="F19" s="277">
        <f>Raw_Data!F59</f>
        <v>-5216</v>
      </c>
      <c r="G19" s="277">
        <f>Raw_Data!G59</f>
        <v>-7127</v>
      </c>
      <c r="H19" s="277">
        <f>Raw_Data!H59</f>
        <v>-9024</v>
      </c>
      <c r="I19" s="277">
        <f>Raw_Data!I59</f>
        <v>-30861</v>
      </c>
      <c r="J19" s="277">
        <f>Raw_Data!J59</f>
        <v>-26429</v>
      </c>
      <c r="K19" s="277">
        <f>Raw_Data!K59</f>
        <v>-8695</v>
      </c>
      <c r="L19" s="260">
        <f t="shared" ref="L19:U19" si="11">L17+L18</f>
        <v>-13505.579387218668</v>
      </c>
      <c r="M19" s="260">
        <f t="shared" si="11"/>
        <v>-13793.427234469067</v>
      </c>
      <c r="N19" s="260">
        <f t="shared" si="11"/>
        <v>-14527.282876753248</v>
      </c>
      <c r="O19" s="260">
        <f t="shared" si="11"/>
        <v>-27055.461475210555</v>
      </c>
      <c r="P19" s="260">
        <f t="shared" si="11"/>
        <v>-15717.93043371971</v>
      </c>
      <c r="Q19" s="260">
        <f t="shared" si="11"/>
        <v>-16207.272471185646</v>
      </c>
      <c r="R19" s="260">
        <f t="shared" si="11"/>
        <v>-12503.573453269029</v>
      </c>
      <c r="S19" s="260">
        <f t="shared" si="11"/>
        <v>-12853.502463092871</v>
      </c>
      <c r="T19" s="260">
        <f t="shared" si="11"/>
        <v>-13141.38872331731</v>
      </c>
      <c r="U19" s="260">
        <f t="shared" si="11"/>
        <v>-13376.377156460876</v>
      </c>
      <c r="V19" s="56"/>
      <c r="W19" s="260">
        <f t="shared" si="7"/>
        <v>-20421</v>
      </c>
      <c r="X19" s="260">
        <f t="shared" si="8"/>
        <v>-52228</v>
      </c>
      <c r="Y19" s="260">
        <f t="shared" si="1"/>
        <v>-62423.006621687739</v>
      </c>
      <c r="Z19" s="260">
        <f t="shared" si="2"/>
        <v>-73507.947256869156</v>
      </c>
      <c r="AA19" s="260">
        <f t="shared" si="3"/>
        <v>-51874.841796140085</v>
      </c>
      <c r="AB19" s="262"/>
      <c r="AC19" s="262"/>
    </row>
    <row r="20" spans="1:29" ht="15" customHeight="1" x14ac:dyDescent="0.15">
      <c r="A20" s="57" t="s">
        <v>1078</v>
      </c>
      <c r="B20" s="245">
        <f>-Raw_Data!B60</f>
        <v>-7740</v>
      </c>
      <c r="C20" s="245">
        <f>-Raw_Data!C60</f>
        <v>-7158</v>
      </c>
      <c r="D20" s="245">
        <f>-Raw_Data!D60</f>
        <v>-10997</v>
      </c>
      <c r="E20" s="245">
        <f>-Raw_Data!E60</f>
        <v>-7811</v>
      </c>
      <c r="F20" s="245">
        <f>-Raw_Data!F60</f>
        <v>-14095</v>
      </c>
      <c r="G20" s="245">
        <f>-Raw_Data!G60</f>
        <v>-9720</v>
      </c>
      <c r="H20" s="245">
        <f>-Raw_Data!H60</f>
        <v>-12456</v>
      </c>
      <c r="I20" s="245">
        <f>-Raw_Data!I60</f>
        <v>-3815</v>
      </c>
      <c r="J20" s="245">
        <f>-Raw_Data!J60</f>
        <v>-19312</v>
      </c>
      <c r="K20" s="245">
        <f>-Raw_Data!K60</f>
        <v>-19732</v>
      </c>
      <c r="L20" s="77">
        <f>-Assumptions!M58</f>
        <v>-18824.463618034064</v>
      </c>
      <c r="M20" s="77">
        <f>-Assumptions!N58</f>
        <v>-21431.993075853727</v>
      </c>
      <c r="N20" s="77">
        <f>-Assumptions!O58</f>
        <v>-25046.712874346369</v>
      </c>
      <c r="O20" s="77">
        <f>-Assumptions!P58</f>
        <v>-32211.63905208838</v>
      </c>
      <c r="P20" s="77">
        <f>-Assumptions!Q58</f>
        <v>-38297.082472171569</v>
      </c>
      <c r="Q20" s="77">
        <f>-Assumptions!R58</f>
        <v>-43778.418617875723</v>
      </c>
      <c r="R20" s="77">
        <f>-Assumptions!S58</f>
        <v>-49999.139512152833</v>
      </c>
      <c r="S20" s="77">
        <f>-Assumptions!T58</f>
        <v>-53082.737466618935</v>
      </c>
      <c r="T20" s="77">
        <f>-Assumptions!U58</f>
        <v>-56565.442539822885</v>
      </c>
      <c r="U20" s="77">
        <f>-Assumptions!V58</f>
        <v>-59463.12336937592</v>
      </c>
      <c r="W20" s="77">
        <f t="shared" si="7"/>
        <v>-33706</v>
      </c>
      <c r="X20" s="77">
        <f t="shared" si="8"/>
        <v>-40086</v>
      </c>
      <c r="Y20" s="77">
        <f t="shared" si="1"/>
        <v>-79300.456693887783</v>
      </c>
      <c r="Z20" s="77">
        <f t="shared" si="2"/>
        <v>-139333.85301648203</v>
      </c>
      <c r="AA20" s="77">
        <f t="shared" si="3"/>
        <v>-219110.44288797057</v>
      </c>
    </row>
    <row r="21" spans="1:29" ht="15" customHeight="1" x14ac:dyDescent="0.15">
      <c r="A21" s="57" t="s">
        <v>1079</v>
      </c>
      <c r="B21" s="245">
        <f>-Raw_Data!B61</f>
        <v>-1752</v>
      </c>
      <c r="C21" s="245">
        <f>-Raw_Data!C61</f>
        <v>-1637</v>
      </c>
      <c r="D21" s="245">
        <f>-Raw_Data!D61</f>
        <v>-1679</v>
      </c>
      <c r="E21" s="245">
        <f>-Raw_Data!E61</f>
        <v>-1862</v>
      </c>
      <c r="F21" s="245">
        <f>-Raw_Data!F61</f>
        <v>-1532</v>
      </c>
      <c r="G21" s="245">
        <f>-Raw_Data!G61</f>
        <v>-1848</v>
      </c>
      <c r="H21" s="245">
        <f>-Raw_Data!H61</f>
        <v>-2429</v>
      </c>
      <c r="I21" s="245">
        <f>-Raw_Data!I61</f>
        <v>-2139</v>
      </c>
      <c r="J21" s="245">
        <f>-Raw_Data!J61</f>
        <v>-2129</v>
      </c>
      <c r="K21" s="245">
        <f>-Raw_Data!K61</f>
        <v>-2402</v>
      </c>
      <c r="L21" s="77">
        <f>-Assumptions!M59</f>
        <v>-2300</v>
      </c>
      <c r="M21" s="77">
        <f>-Assumptions!N59</f>
        <v>-2300</v>
      </c>
      <c r="N21" s="77">
        <f>-Assumptions!O59</f>
        <v>-2300</v>
      </c>
      <c r="O21" s="77">
        <f>-Assumptions!P59</f>
        <v>-2300</v>
      </c>
      <c r="P21" s="77">
        <f>-Assumptions!Q59</f>
        <v>-2300</v>
      </c>
      <c r="Q21" s="77">
        <f>-Assumptions!R59</f>
        <v>-2300</v>
      </c>
      <c r="R21" s="77">
        <f>-Assumptions!S59</f>
        <v>-2300</v>
      </c>
      <c r="S21" s="77">
        <f>-Assumptions!T59</f>
        <v>-2300</v>
      </c>
      <c r="T21" s="77">
        <f>-Assumptions!U59</f>
        <v>-2300</v>
      </c>
      <c r="U21" s="77">
        <f>-Assumptions!V59</f>
        <v>-2300</v>
      </c>
      <c r="W21" s="77">
        <f t="shared" si="7"/>
        <v>-6930</v>
      </c>
      <c r="X21" s="77">
        <f t="shared" si="8"/>
        <v>-7948</v>
      </c>
      <c r="Y21" s="77">
        <f t="shared" si="1"/>
        <v>-9131</v>
      </c>
      <c r="Z21" s="77">
        <f t="shared" si="2"/>
        <v>-9200</v>
      </c>
      <c r="AA21" s="77">
        <f t="shared" si="3"/>
        <v>-9200</v>
      </c>
    </row>
    <row r="22" spans="1:29" ht="15" customHeight="1" x14ac:dyDescent="0.15">
      <c r="A22" s="57" t="s">
        <v>1080</v>
      </c>
      <c r="B22" s="245">
        <f>-Raw_Data!B62</f>
        <v>-98</v>
      </c>
      <c r="C22" s="245">
        <f>-Raw_Data!C62</f>
        <v>-246</v>
      </c>
      <c r="D22" s="245">
        <f>-Raw_Data!D62</f>
        <v>-245</v>
      </c>
      <c r="E22" s="245">
        <f>-Raw_Data!E62</f>
        <v>-245</v>
      </c>
      <c r="F22" s="245">
        <f>-Raw_Data!F62</f>
        <v>-244</v>
      </c>
      <c r="G22" s="245">
        <f>-Raw_Data!G62</f>
        <v>-244</v>
      </c>
      <c r="H22" s="245">
        <f>-Raw_Data!H62</f>
        <v>-244</v>
      </c>
      <c r="I22" s="245">
        <f>-Raw_Data!I62</f>
        <v>-242</v>
      </c>
      <c r="J22" s="245">
        <f>-Raw_Data!J62</f>
        <v>-243</v>
      </c>
      <c r="K22" s="245">
        <f>-Raw_Data!K62</f>
        <v>-6047</v>
      </c>
      <c r="L22" s="77">
        <f>-Assumptions!M57</f>
        <v>-6000</v>
      </c>
      <c r="M22" s="77">
        <f>-Assumptions!N57</f>
        <v>-6000</v>
      </c>
      <c r="N22" s="77">
        <f>-Assumptions!O57</f>
        <v>-6000</v>
      </c>
      <c r="O22" s="77">
        <f>-Assumptions!P57</f>
        <v>-6000</v>
      </c>
      <c r="P22" s="77">
        <f>-Assumptions!Q57</f>
        <v>-6000</v>
      </c>
      <c r="Q22" s="77">
        <f>-Assumptions!R57</f>
        <v>-6000</v>
      </c>
      <c r="R22" s="77">
        <f>-Assumptions!S57</f>
        <v>-6000</v>
      </c>
      <c r="S22" s="77">
        <f>-Assumptions!T57</f>
        <v>-6000</v>
      </c>
      <c r="T22" s="77">
        <f>-Assumptions!U57</f>
        <v>-6000</v>
      </c>
      <c r="U22" s="77">
        <f>-Assumptions!V57</f>
        <v>-6000</v>
      </c>
      <c r="W22" s="77">
        <f t="shared" si="7"/>
        <v>-834</v>
      </c>
      <c r="X22" s="77">
        <f t="shared" si="8"/>
        <v>-974</v>
      </c>
      <c r="Y22" s="77">
        <f t="shared" si="1"/>
        <v>-18290</v>
      </c>
      <c r="Z22" s="77">
        <f t="shared" si="2"/>
        <v>-24000</v>
      </c>
      <c r="AA22" s="77">
        <f t="shared" si="3"/>
        <v>-24000</v>
      </c>
    </row>
    <row r="23" spans="1:29" ht="15" customHeight="1" x14ac:dyDescent="0.15">
      <c r="A23" s="256" t="s">
        <v>1081</v>
      </c>
      <c r="B23" s="258">
        <f>B24+Raw_Data!B60+Raw_Data!B61+Raw_Data!B62</f>
        <v>245</v>
      </c>
      <c r="C23" s="258">
        <f>C24+Raw_Data!C60+Raw_Data!C61+Raw_Data!C62</f>
        <v>-1279</v>
      </c>
      <c r="D23" s="258">
        <f>D24+Raw_Data!D60+Raw_Data!D61+Raw_Data!D62</f>
        <v>176</v>
      </c>
      <c r="E23" s="258">
        <f>E24+Raw_Data!E60+Raw_Data!E61+Raw_Data!E62</f>
        <v>-31</v>
      </c>
      <c r="F23" s="258">
        <f>F24+Raw_Data!F60+Raw_Data!F61+Raw_Data!F62</f>
        <v>318</v>
      </c>
      <c r="G23" s="258">
        <f>G24+Raw_Data!G60+Raw_Data!G61+Raw_Data!G62</f>
        <v>-21</v>
      </c>
      <c r="H23" s="258">
        <f>H24+Raw_Data!H60+Raw_Data!H61+Raw_Data!H62</f>
        <v>249</v>
      </c>
      <c r="I23" s="258">
        <f>I24+Raw_Data!I60+Raw_Data!I61+Raw_Data!I62</f>
        <v>-12</v>
      </c>
      <c r="J23" s="258">
        <f>J24+Raw_Data!J60+Raw_Data!J61+Raw_Data!J62</f>
        <v>401</v>
      </c>
      <c r="K23" s="258">
        <f>K24+Raw_Data!K60+Raw_Data!K61+Raw_Data!K62</f>
        <v>22005</v>
      </c>
      <c r="L23" s="258">
        <f>Assumptions!M60-Assumptions!M62</f>
        <v>300</v>
      </c>
      <c r="M23" s="258">
        <f>Assumptions!N60-Assumptions!N62</f>
        <v>300</v>
      </c>
      <c r="N23" s="258">
        <f>Assumptions!O60-Assumptions!O62</f>
        <v>300</v>
      </c>
      <c r="O23" s="258">
        <f>Assumptions!P60-Assumptions!P62</f>
        <v>300</v>
      </c>
      <c r="P23" s="258">
        <f>Assumptions!Q60-Assumptions!Q62</f>
        <v>300</v>
      </c>
      <c r="Q23" s="258">
        <f>Assumptions!R60-Assumptions!R62</f>
        <v>300</v>
      </c>
      <c r="R23" s="258">
        <f>Assumptions!S60-Assumptions!S62</f>
        <v>300</v>
      </c>
      <c r="S23" s="258">
        <f>Assumptions!T60-Assumptions!T62</f>
        <v>300</v>
      </c>
      <c r="T23" s="258">
        <f>Assumptions!U60-Assumptions!U62</f>
        <v>300</v>
      </c>
      <c r="U23" s="258">
        <f>Assumptions!V60-Assumptions!V62</f>
        <v>300</v>
      </c>
      <c r="W23" s="258">
        <f t="shared" si="7"/>
        <v>-889</v>
      </c>
      <c r="X23" s="258">
        <f t="shared" si="8"/>
        <v>534</v>
      </c>
      <c r="Y23" s="258">
        <f t="shared" si="1"/>
        <v>23006</v>
      </c>
      <c r="Z23" s="258">
        <f t="shared" si="2"/>
        <v>1200</v>
      </c>
      <c r="AA23" s="258">
        <f t="shared" si="3"/>
        <v>1200</v>
      </c>
      <c r="AB23" s="58" t="s">
        <v>1082</v>
      </c>
    </row>
    <row r="24" spans="1:29" ht="15" customHeight="1" x14ac:dyDescent="0.15">
      <c r="A24" s="56" t="s">
        <v>1083</v>
      </c>
      <c r="B24" s="277">
        <f>Raw_Data!B63</f>
        <v>-9345</v>
      </c>
      <c r="C24" s="277">
        <f>Raw_Data!C63</f>
        <v>-10320</v>
      </c>
      <c r="D24" s="277">
        <f>Raw_Data!D63</f>
        <v>-12745</v>
      </c>
      <c r="E24" s="277">
        <f>Raw_Data!E63</f>
        <v>-9949</v>
      </c>
      <c r="F24" s="277">
        <f>Raw_Data!F63</f>
        <v>-15553</v>
      </c>
      <c r="G24" s="277">
        <f>Raw_Data!G63</f>
        <v>-11833</v>
      </c>
      <c r="H24" s="277">
        <f>Raw_Data!H63</f>
        <v>-14880</v>
      </c>
      <c r="I24" s="277">
        <f>Raw_Data!I63</f>
        <v>-6208</v>
      </c>
      <c r="J24" s="277">
        <f>Raw_Data!J63</f>
        <v>-21283</v>
      </c>
      <c r="K24" s="277">
        <f>Raw_Data!K63</f>
        <v>-6176</v>
      </c>
      <c r="L24" s="260">
        <f t="shared" ref="L24:U24" si="12">SUM(L20:L23)</f>
        <v>-26824.463618034064</v>
      </c>
      <c r="M24" s="260">
        <f t="shared" si="12"/>
        <v>-29431.993075853727</v>
      </c>
      <c r="N24" s="260">
        <f t="shared" si="12"/>
        <v>-33046.712874346369</v>
      </c>
      <c r="O24" s="260">
        <f t="shared" si="12"/>
        <v>-40211.63905208838</v>
      </c>
      <c r="P24" s="260">
        <f t="shared" si="12"/>
        <v>-46297.082472171569</v>
      </c>
      <c r="Q24" s="260">
        <f t="shared" si="12"/>
        <v>-51778.418617875723</v>
      </c>
      <c r="R24" s="260">
        <f t="shared" si="12"/>
        <v>-57999.139512152833</v>
      </c>
      <c r="S24" s="260">
        <f t="shared" si="12"/>
        <v>-61082.737466618935</v>
      </c>
      <c r="T24" s="260">
        <f t="shared" si="12"/>
        <v>-64565.442539822885</v>
      </c>
      <c r="U24" s="260">
        <f t="shared" si="12"/>
        <v>-67463.123369375913</v>
      </c>
      <c r="V24" s="56"/>
      <c r="W24" s="260">
        <f t="shared" si="7"/>
        <v>-42359</v>
      </c>
      <c r="X24" s="260">
        <f t="shared" si="8"/>
        <v>-48474</v>
      </c>
      <c r="Y24" s="260">
        <f t="shared" si="1"/>
        <v>-83715.456693887783</v>
      </c>
      <c r="Z24" s="260">
        <f t="shared" si="2"/>
        <v>-171333.85301648205</v>
      </c>
      <c r="AA24" s="260">
        <f t="shared" si="3"/>
        <v>-251110.44288797057</v>
      </c>
      <c r="AB24" s="262"/>
      <c r="AC24" s="262"/>
    </row>
    <row r="25" spans="1:29" ht="15" customHeight="1" x14ac:dyDescent="0.15">
      <c r="A25" s="256" t="s">
        <v>1084</v>
      </c>
      <c r="B25" s="258">
        <f t="shared" ref="B25:K25" si="13">B29-B27-B16-B19-B24</f>
        <v>0</v>
      </c>
      <c r="C25" s="258">
        <f t="shared" si="13"/>
        <v>-8</v>
      </c>
      <c r="D25" s="258">
        <f t="shared" si="13"/>
        <v>8</v>
      </c>
      <c r="E25" s="258">
        <f t="shared" si="13"/>
        <v>0</v>
      </c>
      <c r="F25" s="258">
        <f t="shared" si="13"/>
        <v>0</v>
      </c>
      <c r="G25" s="258">
        <f t="shared" si="13"/>
        <v>0</v>
      </c>
      <c r="H25" s="258">
        <f t="shared" si="13"/>
        <v>0</v>
      </c>
      <c r="I25" s="258">
        <f t="shared" si="13"/>
        <v>0</v>
      </c>
      <c r="J25" s="258">
        <f t="shared" si="13"/>
        <v>0</v>
      </c>
      <c r="K25" s="258">
        <f t="shared" si="13"/>
        <v>0</v>
      </c>
      <c r="L25" s="258">
        <f>Assumptions!M63</f>
        <v>0</v>
      </c>
      <c r="M25" s="258">
        <f>Assumptions!N63</f>
        <v>0</v>
      </c>
      <c r="N25" s="258">
        <f>Assumptions!O63</f>
        <v>0</v>
      </c>
      <c r="O25" s="258">
        <f>Assumptions!P63</f>
        <v>0</v>
      </c>
      <c r="P25" s="258">
        <f>Assumptions!Q63</f>
        <v>0</v>
      </c>
      <c r="Q25" s="258">
        <f>Assumptions!R63</f>
        <v>0</v>
      </c>
      <c r="R25" s="258">
        <f>Assumptions!S63</f>
        <v>0</v>
      </c>
      <c r="S25" s="258">
        <f>Assumptions!T63</f>
        <v>0</v>
      </c>
      <c r="T25" s="258">
        <f>Assumptions!U63</f>
        <v>0</v>
      </c>
      <c r="U25" s="258">
        <f>Assumptions!V63</f>
        <v>0</v>
      </c>
      <c r="W25" s="258">
        <f t="shared" si="7"/>
        <v>0</v>
      </c>
      <c r="X25" s="258">
        <f t="shared" si="8"/>
        <v>0</v>
      </c>
      <c r="Y25" s="258">
        <f t="shared" si="1"/>
        <v>0</v>
      </c>
      <c r="Z25" s="258">
        <f t="shared" si="2"/>
        <v>0</v>
      </c>
      <c r="AA25" s="258">
        <f t="shared" si="3"/>
        <v>0</v>
      </c>
      <c r="AB25" s="58" t="s">
        <v>1085</v>
      </c>
    </row>
    <row r="26" spans="1:29" ht="15" customHeight="1" x14ac:dyDescent="0.15">
      <c r="A26" s="56" t="s">
        <v>1086</v>
      </c>
      <c r="B26" s="260">
        <f t="shared" ref="B26:U26" si="14">B16+B19+B24+B25</f>
        <v>307</v>
      </c>
      <c r="C26" s="260">
        <f t="shared" si="14"/>
        <v>976</v>
      </c>
      <c r="D26" s="260">
        <f t="shared" si="14"/>
        <v>544</v>
      </c>
      <c r="E26" s="260">
        <f t="shared" si="14"/>
        <v>-518</v>
      </c>
      <c r="F26" s="260">
        <f t="shared" si="14"/>
        <v>6645</v>
      </c>
      <c r="G26" s="260">
        <f t="shared" si="14"/>
        <v>-3595</v>
      </c>
      <c r="H26" s="260">
        <f t="shared" si="14"/>
        <v>-153</v>
      </c>
      <c r="I26" s="260">
        <f t="shared" si="14"/>
        <v>-881</v>
      </c>
      <c r="J26" s="260">
        <f t="shared" si="14"/>
        <v>2632</v>
      </c>
      <c r="K26" s="260">
        <f t="shared" si="14"/>
        <v>9206</v>
      </c>
      <c r="L26" s="260">
        <f t="shared" si="14"/>
        <v>12657.796951367392</v>
      </c>
      <c r="M26" s="260">
        <f t="shared" si="14"/>
        <v>15265.326409187055</v>
      </c>
      <c r="N26" s="260">
        <f t="shared" si="14"/>
        <v>18880.046207679698</v>
      </c>
      <c r="O26" s="260">
        <f t="shared" si="14"/>
        <v>14144.972385421708</v>
      </c>
      <c r="P26" s="260">
        <f t="shared" si="14"/>
        <v>32130.415805504897</v>
      </c>
      <c r="Q26" s="260">
        <f t="shared" si="14"/>
        <v>37611.751951209051</v>
      </c>
      <c r="R26" s="260">
        <f t="shared" si="14"/>
        <v>47999.139512152833</v>
      </c>
      <c r="S26" s="260">
        <f t="shared" si="14"/>
        <v>51082.737466618935</v>
      </c>
      <c r="T26" s="260">
        <f t="shared" si="14"/>
        <v>54565.442539822885</v>
      </c>
      <c r="U26" s="260">
        <f t="shared" si="14"/>
        <v>57463.123369375928</v>
      </c>
      <c r="V26" s="56"/>
      <c r="W26" s="260">
        <f>W16+W19+W24+W25</f>
        <v>1309</v>
      </c>
      <c r="X26" s="260">
        <f>X16+X19+X24+X25</f>
        <v>2016</v>
      </c>
      <c r="Y26" s="260">
        <f>Y16+Y19+Y24+Y25</f>
        <v>39761.123360554469</v>
      </c>
      <c r="Z26" s="260">
        <f>Z16+Z19+Z24+Z25</f>
        <v>102767.18634981531</v>
      </c>
      <c r="AA26" s="260">
        <f>AA16+AA19+AA24+AA25</f>
        <v>211110.44288797057</v>
      </c>
      <c r="AB26" s="262"/>
      <c r="AC26" s="262"/>
    </row>
    <row r="27" spans="1:29" ht="15" customHeight="1" x14ac:dyDescent="0.15">
      <c r="A27" s="256" t="s">
        <v>1087</v>
      </c>
      <c r="B27" s="258">
        <f>Raw_Data!B65-Raw_Data!B64</f>
        <v>7280</v>
      </c>
      <c r="C27" s="258">
        <f t="shared" ref="C27:U27" si="15">B28</f>
        <v>7587</v>
      </c>
      <c r="D27" s="258">
        <f t="shared" si="15"/>
        <v>8563</v>
      </c>
      <c r="E27" s="258">
        <f t="shared" si="15"/>
        <v>9107</v>
      </c>
      <c r="F27" s="258">
        <f t="shared" si="15"/>
        <v>8589</v>
      </c>
      <c r="G27" s="258">
        <f t="shared" si="15"/>
        <v>15234</v>
      </c>
      <c r="H27" s="258">
        <f t="shared" si="15"/>
        <v>11639</v>
      </c>
      <c r="I27" s="258">
        <f t="shared" si="15"/>
        <v>11486</v>
      </c>
      <c r="J27" s="258">
        <f t="shared" si="15"/>
        <v>10605</v>
      </c>
      <c r="K27" s="258">
        <f t="shared" si="15"/>
        <v>13237</v>
      </c>
      <c r="L27" s="258">
        <f t="shared" si="15"/>
        <v>22443</v>
      </c>
      <c r="M27" s="258">
        <f t="shared" si="15"/>
        <v>35100.796951367389</v>
      </c>
      <c r="N27" s="258">
        <f t="shared" si="15"/>
        <v>50366.12336055444</v>
      </c>
      <c r="O27" s="258">
        <f t="shared" si="15"/>
        <v>69246.169568234138</v>
      </c>
      <c r="P27" s="258">
        <f t="shared" si="15"/>
        <v>83391.141953655839</v>
      </c>
      <c r="Q27" s="258">
        <f t="shared" si="15"/>
        <v>115521.55775916073</v>
      </c>
      <c r="R27" s="258">
        <f t="shared" si="15"/>
        <v>153133.30971036979</v>
      </c>
      <c r="S27" s="258">
        <f t="shared" si="15"/>
        <v>201132.44922252261</v>
      </c>
      <c r="T27" s="258">
        <f t="shared" si="15"/>
        <v>252215.18668914156</v>
      </c>
      <c r="U27" s="258">
        <f t="shared" si="15"/>
        <v>306780.62922896445</v>
      </c>
      <c r="W27" s="258">
        <f>B27</f>
        <v>7280</v>
      </c>
      <c r="X27" s="258">
        <f>F27</f>
        <v>8589</v>
      </c>
      <c r="Y27" s="258">
        <f>J27</f>
        <v>10605</v>
      </c>
      <c r="Z27" s="258">
        <f>N27</f>
        <v>50366.12336055444</v>
      </c>
      <c r="AA27" s="258">
        <f>R27</f>
        <v>153133.30971036979</v>
      </c>
      <c r="AB27" s="58" t="s">
        <v>1088</v>
      </c>
    </row>
    <row r="28" spans="1:29" ht="15" customHeight="1" x14ac:dyDescent="0.15">
      <c r="A28" s="56" t="s">
        <v>1089</v>
      </c>
      <c r="B28" s="260">
        <f t="shared" ref="B28:U28" si="16">B27+B26</f>
        <v>7587</v>
      </c>
      <c r="C28" s="260">
        <f t="shared" si="16"/>
        <v>8563</v>
      </c>
      <c r="D28" s="260">
        <f t="shared" si="16"/>
        <v>9107</v>
      </c>
      <c r="E28" s="260">
        <f t="shared" si="16"/>
        <v>8589</v>
      </c>
      <c r="F28" s="260">
        <f t="shared" si="16"/>
        <v>15234</v>
      </c>
      <c r="G28" s="260">
        <f t="shared" si="16"/>
        <v>11639</v>
      </c>
      <c r="H28" s="260">
        <f t="shared" si="16"/>
        <v>11486</v>
      </c>
      <c r="I28" s="260">
        <f t="shared" si="16"/>
        <v>10605</v>
      </c>
      <c r="J28" s="260">
        <f t="shared" si="16"/>
        <v>13237</v>
      </c>
      <c r="K28" s="260">
        <f t="shared" si="16"/>
        <v>22443</v>
      </c>
      <c r="L28" s="260">
        <f t="shared" si="16"/>
        <v>35100.796951367389</v>
      </c>
      <c r="M28" s="260">
        <f t="shared" si="16"/>
        <v>50366.12336055444</v>
      </c>
      <c r="N28" s="260">
        <f t="shared" si="16"/>
        <v>69246.169568234138</v>
      </c>
      <c r="O28" s="260">
        <f t="shared" si="16"/>
        <v>83391.141953655839</v>
      </c>
      <c r="P28" s="260">
        <f t="shared" si="16"/>
        <v>115521.55775916073</v>
      </c>
      <c r="Q28" s="260">
        <f t="shared" si="16"/>
        <v>153133.30971036979</v>
      </c>
      <c r="R28" s="260">
        <f t="shared" si="16"/>
        <v>201132.44922252261</v>
      </c>
      <c r="S28" s="260">
        <f t="shared" si="16"/>
        <v>252215.18668914156</v>
      </c>
      <c r="T28" s="260">
        <f t="shared" si="16"/>
        <v>306780.62922896445</v>
      </c>
      <c r="U28" s="260">
        <f t="shared" si="16"/>
        <v>364243.75259834039</v>
      </c>
      <c r="V28" s="56"/>
      <c r="W28" s="260">
        <f>W27+W26</f>
        <v>8589</v>
      </c>
      <c r="X28" s="260">
        <f>X27+X26</f>
        <v>10605</v>
      </c>
      <c r="Y28" s="260">
        <f>Y27+Y26</f>
        <v>50366.123360554469</v>
      </c>
      <c r="Z28" s="260">
        <f>Z27+Z26</f>
        <v>153133.30971036974</v>
      </c>
      <c r="AA28" s="260">
        <f>AA27+AA26</f>
        <v>364243.75259834039</v>
      </c>
      <c r="AB28" s="261" t="s">
        <v>1090</v>
      </c>
      <c r="AC28" s="262"/>
    </row>
    <row r="29" spans="1:29" ht="15" customHeight="1" x14ac:dyDescent="0.15">
      <c r="A29" s="58" t="s">
        <v>1091</v>
      </c>
      <c r="B29" s="245">
        <f>Raw_Data!B65</f>
        <v>7587</v>
      </c>
      <c r="C29" s="245">
        <f>Raw_Data!C65</f>
        <v>8563</v>
      </c>
      <c r="D29" s="245">
        <f>Raw_Data!D65</f>
        <v>9107</v>
      </c>
      <c r="E29" s="245">
        <f>Raw_Data!E65</f>
        <v>8589</v>
      </c>
      <c r="F29" s="245">
        <f>Raw_Data!F65</f>
        <v>15234</v>
      </c>
      <c r="G29" s="245">
        <f>Raw_Data!G65</f>
        <v>11639</v>
      </c>
      <c r="H29" s="245">
        <f>Raw_Data!H65</f>
        <v>11486</v>
      </c>
      <c r="I29" s="245">
        <f>Raw_Data!I65</f>
        <v>10605</v>
      </c>
      <c r="J29" s="245">
        <f>Raw_Data!J65</f>
        <v>13237</v>
      </c>
      <c r="K29" s="245">
        <f>Raw_Data!K65</f>
        <v>22443</v>
      </c>
      <c r="AB29" s="58" t="s">
        <v>1092</v>
      </c>
    </row>
    <row r="30" spans="1:29" ht="15" customHeight="1" x14ac:dyDescent="0.15">
      <c r="A30" s="58" t="s">
        <v>1093</v>
      </c>
      <c r="B30" s="284">
        <f t="shared" ref="B30:K30" si="17">B28-B29</f>
        <v>0</v>
      </c>
      <c r="C30" s="284">
        <f t="shared" si="17"/>
        <v>0</v>
      </c>
      <c r="D30" s="284">
        <f t="shared" si="17"/>
        <v>0</v>
      </c>
      <c r="E30" s="284">
        <f t="shared" si="17"/>
        <v>0</v>
      </c>
      <c r="F30" s="284">
        <f t="shared" si="17"/>
        <v>0</v>
      </c>
      <c r="G30" s="284">
        <f t="shared" si="17"/>
        <v>0</v>
      </c>
      <c r="H30" s="284">
        <f t="shared" si="17"/>
        <v>0</v>
      </c>
      <c r="I30" s="284">
        <f t="shared" si="17"/>
        <v>0</v>
      </c>
      <c r="J30" s="284">
        <f t="shared" si="17"/>
        <v>0</v>
      </c>
      <c r="K30" s="284">
        <f t="shared" si="17"/>
        <v>0</v>
      </c>
      <c r="AB30" s="58" t="s">
        <v>1094</v>
      </c>
    </row>
    <row r="32" spans="1:29" ht="15" customHeight="1" x14ac:dyDescent="0.15">
      <c r="A32" s="59" t="s">
        <v>1095</v>
      </c>
      <c r="B32" s="114"/>
      <c r="C32" s="114"/>
      <c r="D32" s="114"/>
      <c r="E32" s="114"/>
      <c r="F32" s="114"/>
      <c r="G32" s="114"/>
      <c r="H32" s="114"/>
      <c r="I32" s="114"/>
      <c r="J32" s="114"/>
      <c r="K32" s="114"/>
      <c r="L32" s="114"/>
      <c r="M32" s="114"/>
      <c r="N32" s="114"/>
      <c r="O32" s="114"/>
      <c r="P32" s="114"/>
      <c r="Q32" s="114"/>
      <c r="R32" s="114"/>
      <c r="S32" s="114"/>
      <c r="T32" s="114"/>
      <c r="U32" s="114"/>
      <c r="V32" s="211"/>
      <c r="W32" s="114"/>
      <c r="X32" s="114"/>
      <c r="Y32" s="114"/>
      <c r="Z32" s="114"/>
      <c r="AA32" s="114"/>
      <c r="AB32" s="114"/>
      <c r="AC32" s="114"/>
    </row>
    <row r="33" spans="1:28" ht="15" customHeight="1" x14ac:dyDescent="0.15">
      <c r="A33" s="57" t="s">
        <v>1096</v>
      </c>
      <c r="L33" s="77">
        <f>IS!L7*Assumptions!M52</f>
        <v>3288.9127205519999</v>
      </c>
      <c r="M33" s="77">
        <f>IS!M7*Assumptions!N52</f>
        <v>3576.7605678023997</v>
      </c>
      <c r="N33" s="77">
        <f>IS!N7*Assumptions!O52</f>
        <v>4310.6162100865795</v>
      </c>
      <c r="O33" s="77">
        <f>IS!O7*Assumptions!P52</f>
        <v>4938.7948085438875</v>
      </c>
      <c r="P33" s="77">
        <f>IS!P7*Assumptions!Q52</f>
        <v>5501.2637670530412</v>
      </c>
      <c r="Q33" s="77">
        <f>IS!Q7*Assumptions!R52</f>
        <v>5990.6058045189775</v>
      </c>
      <c r="R33" s="77">
        <f>IS!R7*Assumptions!S52</f>
        <v>6453.5734532690303</v>
      </c>
      <c r="S33" s="77">
        <f>IS!S7*Assumptions!T52</f>
        <v>6803.5024630928719</v>
      </c>
      <c r="T33" s="77">
        <f>IS!T7*Assumptions!U52</f>
        <v>7091.38872331731</v>
      </c>
      <c r="U33" s="77">
        <f>IS!U7*Assumptions!V52</f>
        <v>7326.3771564608751</v>
      </c>
      <c r="Y33" s="77">
        <f t="shared" ref="Y33:Y39" si="18">SUM(J33:M33)</f>
        <v>6865.6732883543991</v>
      </c>
      <c r="Z33" s="77">
        <f t="shared" ref="Z33:Z39" si="19">SUM(N33:Q33)</f>
        <v>20741.280590202488</v>
      </c>
      <c r="AA33" s="77">
        <f t="shared" ref="AA33:AA39" si="20">SUM(R33:U33)</f>
        <v>27674.841796140088</v>
      </c>
      <c r="AB33" s="58" t="s">
        <v>1097</v>
      </c>
    </row>
    <row r="34" spans="1:28" ht="15" customHeight="1" x14ac:dyDescent="0.15">
      <c r="A34" s="57" t="s">
        <v>1098</v>
      </c>
      <c r="L34" s="77">
        <f>Assumptions!M54</f>
        <v>50</v>
      </c>
      <c r="M34" s="77">
        <f>Assumptions!N54</f>
        <v>50</v>
      </c>
      <c r="N34" s="77">
        <f>Assumptions!O54</f>
        <v>50</v>
      </c>
      <c r="O34" s="77">
        <f>Assumptions!P54</f>
        <v>50</v>
      </c>
      <c r="P34" s="77">
        <f>Assumptions!Q54</f>
        <v>50</v>
      </c>
      <c r="Q34" s="77">
        <f>Assumptions!R54</f>
        <v>50</v>
      </c>
      <c r="R34" s="77">
        <f>Assumptions!S54</f>
        <v>50</v>
      </c>
      <c r="S34" s="77">
        <f>Assumptions!T54</f>
        <v>50</v>
      </c>
      <c r="T34" s="77">
        <f>Assumptions!U54</f>
        <v>50</v>
      </c>
      <c r="U34" s="77">
        <f>Assumptions!V54</f>
        <v>50</v>
      </c>
      <c r="Y34" s="77">
        <f t="shared" si="18"/>
        <v>100</v>
      </c>
      <c r="Z34" s="77">
        <f t="shared" si="19"/>
        <v>200</v>
      </c>
      <c r="AA34" s="77">
        <f t="shared" si="20"/>
        <v>200</v>
      </c>
    </row>
    <row r="35" spans="1:28" ht="15" customHeight="1" x14ac:dyDescent="0.15">
      <c r="A35" s="57" t="s">
        <v>1099</v>
      </c>
      <c r="L35" s="77">
        <f>BS!K13*Assumptions!M53*Assumptions!M13-L36</f>
        <v>1165.6499999999999</v>
      </c>
      <c r="M35" s="77">
        <f>BS!L13*Assumptions!N53*Assumptions!N13-M36</f>
        <v>1356.7436448496796</v>
      </c>
      <c r="N35" s="77">
        <f>BS!M13*Assumptions!O53*Assumptions!O13-N36</f>
        <v>1556.5451679154244</v>
      </c>
      <c r="O35" s="77">
        <f>BS!N13*Assumptions!P53*Assumptions!P13-O36</f>
        <v>1804.4115617108284</v>
      </c>
      <c r="P35" s="77">
        <f>BS!O13*Assumptions!Q53*Assumptions!Q13-P36</f>
        <v>2086.5060539258038</v>
      </c>
      <c r="Q35" s="77">
        <f>BS!P13*Assumptions!R53*Assumptions!R13-Q36</f>
        <v>2393.834248107255</v>
      </c>
      <c r="R35" s="77">
        <f>BS!Q13*Assumptions!S53*Assumptions!S13-R36</f>
        <v>2717.5436881843102</v>
      </c>
      <c r="S35" s="77">
        <f>BS!R13*Assumptions!T53*Assumptions!T13-S36</f>
        <v>3053.7863670419351</v>
      </c>
      <c r="T35" s="77">
        <f>BS!S13*Assumptions!U53*Assumptions!U13-T36</f>
        <v>3391.2608156865199</v>
      </c>
      <c r="U35" s="77">
        <f>BS!T13*Assumptions!V53*Assumptions!V13-U36</f>
        <v>3724.2723273732909</v>
      </c>
      <c r="Y35" s="77">
        <f t="shared" si="18"/>
        <v>2522.3936448496797</v>
      </c>
      <c r="Z35" s="77">
        <f t="shared" si="19"/>
        <v>7841.2970316593119</v>
      </c>
      <c r="AA35" s="77">
        <f t="shared" si="20"/>
        <v>12886.863198286057</v>
      </c>
      <c r="AB35" s="58" t="s">
        <v>1100</v>
      </c>
    </row>
    <row r="36" spans="1:28" ht="15" customHeight="1" x14ac:dyDescent="0.15">
      <c r="A36" s="57" t="s">
        <v>1101</v>
      </c>
      <c r="L36" s="77">
        <f>MIN(Assumptions!M55,BS!K16)</f>
        <v>120</v>
      </c>
      <c r="M36" s="77">
        <f>MIN(Assumptions!N55,BS!L16)</f>
        <v>120</v>
      </c>
      <c r="N36" s="77">
        <f>MIN(Assumptions!O55,BS!M16)</f>
        <v>120</v>
      </c>
      <c r="O36" s="77">
        <f>MIN(Assumptions!P55,BS!N16)</f>
        <v>120</v>
      </c>
      <c r="P36" s="77">
        <f>MIN(Assumptions!Q55,BS!O16)</f>
        <v>120</v>
      </c>
      <c r="Q36" s="77">
        <f>MIN(Assumptions!R55,BS!P16)</f>
        <v>120</v>
      </c>
      <c r="R36" s="77">
        <f>MIN(Assumptions!S55,BS!Q16)</f>
        <v>120</v>
      </c>
      <c r="S36" s="77">
        <f>MIN(Assumptions!T55,BS!R16)</f>
        <v>120</v>
      </c>
      <c r="T36" s="77">
        <f>MIN(Assumptions!U55,BS!S16)</f>
        <v>120</v>
      </c>
      <c r="U36" s="77">
        <f>MIN(Assumptions!V55,BS!T16)</f>
        <v>120</v>
      </c>
      <c r="Y36" s="77">
        <f t="shared" si="18"/>
        <v>240</v>
      </c>
      <c r="Z36" s="77">
        <f t="shared" si="19"/>
        <v>480</v>
      </c>
      <c r="AA36" s="77">
        <f t="shared" si="20"/>
        <v>480</v>
      </c>
    </row>
    <row r="37" spans="1:28" ht="15" customHeight="1" x14ac:dyDescent="0.15">
      <c r="A37" s="57" t="s">
        <v>1102</v>
      </c>
      <c r="L37" s="77">
        <f>Assumptions!M56</f>
        <v>6000</v>
      </c>
      <c r="M37" s="77">
        <f>Assumptions!N56</f>
        <v>6000</v>
      </c>
      <c r="N37" s="77">
        <f>Assumptions!O56</f>
        <v>6000</v>
      </c>
      <c r="O37" s="77">
        <f>Assumptions!P56</f>
        <v>6000</v>
      </c>
      <c r="P37" s="77">
        <f>Assumptions!Q56</f>
        <v>6000</v>
      </c>
      <c r="Q37" s="77">
        <f>Assumptions!R56</f>
        <v>6000</v>
      </c>
      <c r="R37" s="77">
        <f>Assumptions!S56</f>
        <v>6000</v>
      </c>
      <c r="S37" s="77">
        <f>Assumptions!T56</f>
        <v>6000</v>
      </c>
      <c r="T37" s="77">
        <f>Assumptions!U56</f>
        <v>6000</v>
      </c>
      <c r="U37" s="77">
        <f>Assumptions!V56</f>
        <v>6000</v>
      </c>
      <c r="Y37" s="77">
        <f t="shared" si="18"/>
        <v>12000</v>
      </c>
      <c r="Z37" s="77">
        <f t="shared" si="19"/>
        <v>24000</v>
      </c>
      <c r="AA37" s="77">
        <f t="shared" si="20"/>
        <v>24000</v>
      </c>
    </row>
    <row r="38" spans="1:28" ht="13.5" customHeight="1" x14ac:dyDescent="0.15">
      <c r="A38" s="57" t="s">
        <v>1103</v>
      </c>
      <c r="L38" s="77">
        <f>Assumptions!M82</f>
        <v>4166.666666666667</v>
      </c>
      <c r="M38" s="77">
        <f>Assumptions!N82</f>
        <v>4166.666666666667</v>
      </c>
      <c r="N38" s="77">
        <f>Assumptions!O82</f>
        <v>4166.666666666667</v>
      </c>
      <c r="O38" s="77">
        <f>Assumptions!P82</f>
        <v>4166.666666666667</v>
      </c>
      <c r="P38" s="77">
        <f>Assumptions!Q82</f>
        <v>4166.666666666667</v>
      </c>
      <c r="Q38" s="77">
        <f>Assumptions!R82</f>
        <v>4166.666666666667</v>
      </c>
      <c r="R38" s="77">
        <f>Assumptions!S82</f>
        <v>0</v>
      </c>
      <c r="S38" s="77">
        <f>Assumptions!T82</f>
        <v>0</v>
      </c>
      <c r="T38" s="77">
        <f>Assumptions!U82</f>
        <v>0</v>
      </c>
      <c r="U38" s="77">
        <f>Assumptions!V82</f>
        <v>0</v>
      </c>
      <c r="Y38" s="77">
        <f t="shared" si="18"/>
        <v>8333.3333333333339</v>
      </c>
      <c r="Z38" s="77">
        <f t="shared" si="19"/>
        <v>16666.666666666668</v>
      </c>
      <c r="AA38" s="77">
        <f t="shared" si="20"/>
        <v>0</v>
      </c>
      <c r="AB38" s="58" t="s">
        <v>1104</v>
      </c>
    </row>
    <row r="39" spans="1:28" ht="13.5" customHeight="1" x14ac:dyDescent="0.15">
      <c r="A39" s="57" t="s">
        <v>1105</v>
      </c>
      <c r="L39" s="77">
        <f>Assumptions!M83</f>
        <v>0</v>
      </c>
      <c r="M39" s="77">
        <f>Assumptions!N83</f>
        <v>0</v>
      </c>
      <c r="N39" s="77">
        <f>Assumptions!O83</f>
        <v>0</v>
      </c>
      <c r="O39" s="77">
        <f>Assumptions!P83</f>
        <v>11900</v>
      </c>
      <c r="P39" s="77">
        <f>Assumptions!Q83</f>
        <v>0</v>
      </c>
      <c r="Q39" s="77">
        <f>Assumptions!R83</f>
        <v>0</v>
      </c>
      <c r="R39" s="77">
        <f>Assumptions!S83</f>
        <v>0</v>
      </c>
      <c r="S39" s="77">
        <f>Assumptions!T83</f>
        <v>0</v>
      </c>
      <c r="T39" s="77">
        <f>Assumptions!U83</f>
        <v>0</v>
      </c>
      <c r="U39" s="77">
        <f>Assumptions!V83</f>
        <v>0</v>
      </c>
      <c r="Y39" s="77">
        <f t="shared" si="18"/>
        <v>0</v>
      </c>
      <c r="Z39" s="77">
        <f t="shared" si="19"/>
        <v>11900</v>
      </c>
      <c r="AA39" s="77">
        <f t="shared" si="20"/>
        <v>0</v>
      </c>
      <c r="AB39" s="58" t="s">
        <v>1106</v>
      </c>
    </row>
  </sheetData>
  <phoneticPr fontId="61" type="noConversion"/>
  <pageMargins left="0.75" right="0.75" top="1" bottom="1" header="0.511811023622047" footer="0.511811023622047"/>
  <pageSetup paperSize="9"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35"/>
  <sheetViews>
    <sheetView showGridLines="0" zoomScale="106" zoomScaleNormal="106" workbookViewId="0">
      <pane xSplit="1" ySplit="6" topLeftCell="B7" activePane="bottomRight" state="frozen"/>
      <selection pane="topRight" activeCell="B1" sqref="B1"/>
      <selection pane="bottomLeft" activeCell="A7" sqref="A7"/>
      <selection pane="bottomRight" activeCell="C30" sqref="C30"/>
    </sheetView>
  </sheetViews>
  <sheetFormatPr baseColWidth="10" defaultColWidth="9.5" defaultRowHeight="14" x14ac:dyDescent="0.15"/>
  <cols>
    <col min="1" max="1" width="50" customWidth="1"/>
    <col min="2" max="21" width="14.1640625" customWidth="1"/>
    <col min="22" max="22" width="2.1640625" customWidth="1"/>
    <col min="23" max="27" width="14.1640625" customWidth="1"/>
    <col min="28" max="29" width="56.6640625" customWidth="1"/>
    <col min="30" max="30" width="61" customWidth="1"/>
  </cols>
  <sheetData>
    <row r="1" spans="1:30" ht="21.75" customHeight="1" x14ac:dyDescent="0.2">
      <c r="A1" s="68" t="s">
        <v>1107</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row>
    <row r="2" spans="1:30" ht="15" customHeight="1" x14ac:dyDescent="0.15">
      <c r="A2" s="56" t="s">
        <v>646</v>
      </c>
    </row>
    <row r="3" spans="1:30" ht="15" customHeight="1" x14ac:dyDescent="0.15">
      <c r="A3" s="57" t="s">
        <v>647</v>
      </c>
    </row>
    <row r="4" spans="1:30" ht="15" customHeight="1" x14ac:dyDescent="0.15">
      <c r="A4" s="73" t="s">
        <v>215</v>
      </c>
      <c r="B4" s="98" t="s">
        <v>648</v>
      </c>
      <c r="C4" s="98" t="s">
        <v>649</v>
      </c>
      <c r="D4" s="98" t="s">
        <v>650</v>
      </c>
      <c r="E4" s="98" t="s">
        <v>651</v>
      </c>
      <c r="F4" s="98" t="s">
        <v>652</v>
      </c>
      <c r="G4" s="98" t="s">
        <v>653</v>
      </c>
      <c r="H4" s="98" t="s">
        <v>654</v>
      </c>
      <c r="I4" s="98" t="s">
        <v>655</v>
      </c>
      <c r="J4" s="98" t="s">
        <v>656</v>
      </c>
      <c r="K4" s="98" t="s">
        <v>657</v>
      </c>
      <c r="L4" s="98" t="s">
        <v>658</v>
      </c>
      <c r="M4" s="98" t="s">
        <v>659</v>
      </c>
      <c r="N4" s="98" t="s">
        <v>660</v>
      </c>
      <c r="O4" s="98" t="s">
        <v>661</v>
      </c>
      <c r="P4" s="98" t="s">
        <v>662</v>
      </c>
      <c r="Q4" s="98" t="s">
        <v>663</v>
      </c>
      <c r="R4" s="98" t="s">
        <v>664</v>
      </c>
      <c r="S4" s="98" t="s">
        <v>665</v>
      </c>
      <c r="T4" s="98" t="s">
        <v>666</v>
      </c>
      <c r="U4" s="98" t="s">
        <v>667</v>
      </c>
      <c r="V4" s="211"/>
      <c r="W4" s="98" t="s">
        <v>651</v>
      </c>
      <c r="X4" s="98" t="s">
        <v>655</v>
      </c>
      <c r="Y4" s="98" t="s">
        <v>659</v>
      </c>
      <c r="Z4" s="98" t="s">
        <v>663</v>
      </c>
      <c r="AA4" s="98" t="s">
        <v>667</v>
      </c>
      <c r="AB4" s="69"/>
      <c r="AC4" s="69"/>
      <c r="AD4" s="69"/>
    </row>
    <row r="5" spans="1:30" ht="15" customHeight="1" x14ac:dyDescent="0.15">
      <c r="A5" s="73" t="s">
        <v>668</v>
      </c>
      <c r="B5" s="74" t="s">
        <v>669</v>
      </c>
      <c r="C5" s="74" t="s">
        <v>670</v>
      </c>
      <c r="D5" s="74" t="s">
        <v>671</v>
      </c>
      <c r="E5" s="74" t="s">
        <v>672</v>
      </c>
      <c r="F5" s="74" t="s">
        <v>673</v>
      </c>
      <c r="G5" s="74" t="s">
        <v>674</v>
      </c>
      <c r="H5" s="74" t="s">
        <v>675</v>
      </c>
      <c r="I5" s="74" t="s">
        <v>676</v>
      </c>
      <c r="J5" s="74" t="s">
        <v>677</v>
      </c>
      <c r="K5" s="74" t="s">
        <v>678</v>
      </c>
      <c r="L5" s="74" t="s">
        <v>547</v>
      </c>
      <c r="M5" s="74" t="s">
        <v>548</v>
      </c>
      <c r="N5" s="74" t="s">
        <v>679</v>
      </c>
      <c r="O5" s="74" t="s">
        <v>680</v>
      </c>
      <c r="P5" s="74" t="s">
        <v>681</v>
      </c>
      <c r="Q5" s="74" t="s">
        <v>682</v>
      </c>
      <c r="R5" s="74" t="s">
        <v>683</v>
      </c>
      <c r="S5" s="74" t="s">
        <v>684</v>
      </c>
      <c r="T5" s="74" t="s">
        <v>685</v>
      </c>
      <c r="U5" s="74" t="s">
        <v>686</v>
      </c>
      <c r="V5" s="231"/>
      <c r="W5" s="74" t="s">
        <v>687</v>
      </c>
      <c r="X5" s="74" t="s">
        <v>549</v>
      </c>
      <c r="Y5" s="74" t="s">
        <v>236</v>
      </c>
      <c r="Z5" s="74" t="s">
        <v>237</v>
      </c>
      <c r="AA5" s="74" t="s">
        <v>238</v>
      </c>
      <c r="AB5" s="73"/>
      <c r="AC5" s="73"/>
      <c r="AD5" s="73"/>
    </row>
    <row r="6" spans="1:30" ht="15" customHeight="1" x14ac:dyDescent="0.15">
      <c r="A6" s="56" t="s">
        <v>358</v>
      </c>
      <c r="B6" s="232" t="s">
        <v>359</v>
      </c>
      <c r="C6" s="232" t="s">
        <v>359</v>
      </c>
      <c r="D6" s="232" t="s">
        <v>359</v>
      </c>
      <c r="E6" s="232" t="s">
        <v>359</v>
      </c>
      <c r="F6" s="232" t="s">
        <v>359</v>
      </c>
      <c r="G6" s="232" t="s">
        <v>359</v>
      </c>
      <c r="H6" s="232" t="s">
        <v>359</v>
      </c>
      <c r="I6" s="232" t="s">
        <v>359</v>
      </c>
      <c r="J6" s="232" t="s">
        <v>359</v>
      </c>
      <c r="K6" s="232" t="s">
        <v>359</v>
      </c>
      <c r="L6" s="232" t="s">
        <v>551</v>
      </c>
      <c r="M6" s="232" t="s">
        <v>551</v>
      </c>
      <c r="N6" s="232" t="s">
        <v>551</v>
      </c>
      <c r="O6" s="232" t="s">
        <v>551</v>
      </c>
      <c r="P6" s="232" t="s">
        <v>551</v>
      </c>
      <c r="Q6" s="232" t="s">
        <v>551</v>
      </c>
      <c r="R6" s="232" t="s">
        <v>551</v>
      </c>
      <c r="S6" s="232" t="s">
        <v>551</v>
      </c>
      <c r="T6" s="232" t="s">
        <v>551</v>
      </c>
      <c r="U6" s="232" t="s">
        <v>551</v>
      </c>
      <c r="V6" s="211"/>
      <c r="W6" s="232" t="s">
        <v>359</v>
      </c>
      <c r="X6" s="232" t="s">
        <v>359</v>
      </c>
      <c r="Y6" s="232" t="s">
        <v>551</v>
      </c>
      <c r="Z6" s="232" t="s">
        <v>551</v>
      </c>
      <c r="AA6" s="232" t="s">
        <v>551</v>
      </c>
    </row>
    <row r="7" spans="1:30" ht="15" customHeight="1" x14ac:dyDescent="0.15">
      <c r="A7" s="57" t="s">
        <v>1108</v>
      </c>
      <c r="B7" s="77">
        <f>BS!B19-BS!B28-BS!B33</f>
        <v>0</v>
      </c>
      <c r="C7" s="77">
        <f>BS!C19-BS!C28-BS!C33</f>
        <v>0</v>
      </c>
      <c r="D7" s="77">
        <f>BS!D19-BS!D28-BS!D33</f>
        <v>0</v>
      </c>
      <c r="E7" s="77">
        <f>BS!E19-BS!E28-BS!E33</f>
        <v>0</v>
      </c>
      <c r="F7" s="77">
        <f>BS!F19-BS!F28-BS!F33</f>
        <v>0</v>
      </c>
      <c r="G7" s="77">
        <f>BS!G19-BS!G28-BS!G33</f>
        <v>0</v>
      </c>
      <c r="H7" s="77">
        <f>BS!H19-BS!H28-BS!H33</f>
        <v>0</v>
      </c>
      <c r="I7" s="77">
        <f>BS!I19-BS!I28-BS!I33</f>
        <v>0</v>
      </c>
      <c r="J7" s="77">
        <f>BS!J19-BS!J28-BS!J33</f>
        <v>0</v>
      </c>
      <c r="K7" s="77">
        <f>BS!K19-BS!K28-BS!K33</f>
        <v>0</v>
      </c>
      <c r="L7" s="77">
        <f>BS!L19-BS!L28-BS!L33</f>
        <v>0</v>
      </c>
      <c r="M7" s="77">
        <f>BS!M19-BS!M28-BS!M33</f>
        <v>0</v>
      </c>
      <c r="N7" s="77">
        <f>BS!N19-BS!N28-BS!N33</f>
        <v>0</v>
      </c>
      <c r="O7" s="77">
        <f>BS!O19-BS!O28-BS!O33</f>
        <v>0</v>
      </c>
      <c r="P7" s="77">
        <f>BS!P19-BS!P28-BS!P33</f>
        <v>0</v>
      </c>
      <c r="Q7" s="77">
        <f>BS!Q19-BS!Q28-BS!Q33</f>
        <v>0</v>
      </c>
      <c r="R7" s="77">
        <f>BS!R19-BS!R28-BS!R33</f>
        <v>0</v>
      </c>
      <c r="S7" s="77">
        <f>BS!S19-BS!S28-BS!S33</f>
        <v>0</v>
      </c>
      <c r="T7" s="77">
        <f>BS!T19-BS!T28-BS!T33</f>
        <v>0</v>
      </c>
      <c r="U7" s="77">
        <f>BS!U19-BS!U28-BS!U33</f>
        <v>0</v>
      </c>
      <c r="W7" s="77">
        <f>BS!W19-BS!W28-BS!W33</f>
        <v>0</v>
      </c>
      <c r="X7" s="77">
        <f>BS!X19-BS!X28-BS!X33</f>
        <v>0</v>
      </c>
      <c r="Y7" s="77">
        <f>BS!Y19-BS!Y28-BS!Y33</f>
        <v>0</v>
      </c>
      <c r="Z7" s="77">
        <f>BS!Z19-BS!Z28-BS!Z33</f>
        <v>0</v>
      </c>
      <c r="AA7" s="77">
        <f>BS!AA19-BS!AA28-BS!AA33</f>
        <v>0</v>
      </c>
      <c r="AB7" s="249">
        <v>0.01</v>
      </c>
      <c r="AC7" s="56" t="str">
        <f t="shared" ref="AC7:AC13" si="0">IF(SUMPRODUCT(--(ABS(B7:AA7)&gt;AB7))=0,"PASS","FAIL")</f>
        <v>PASS</v>
      </c>
      <c r="AD7" s="58" t="s">
        <v>1109</v>
      </c>
    </row>
    <row r="8" spans="1:30" ht="15" customHeight="1" x14ac:dyDescent="0.15">
      <c r="A8" s="57" t="s">
        <v>1110</v>
      </c>
      <c r="B8" s="77">
        <f>CF!B28-BS!B7</f>
        <v>0</v>
      </c>
      <c r="C8" s="77">
        <f>CF!C28-BS!C7</f>
        <v>0</v>
      </c>
      <c r="D8" s="77">
        <f>CF!D28-BS!D7</f>
        <v>0</v>
      </c>
      <c r="E8" s="77">
        <f>CF!E28-BS!E7</f>
        <v>0</v>
      </c>
      <c r="F8" s="77">
        <f>CF!F28-BS!F7</f>
        <v>0</v>
      </c>
      <c r="G8" s="77">
        <f>CF!G28-BS!G7</f>
        <v>0</v>
      </c>
      <c r="H8" s="77">
        <f>CF!H28-BS!H7</f>
        <v>0</v>
      </c>
      <c r="I8" s="77">
        <f>CF!I28-BS!I7</f>
        <v>0</v>
      </c>
      <c r="J8" s="77">
        <f>CF!J28-BS!J7</f>
        <v>0</v>
      </c>
      <c r="K8" s="77">
        <f>CF!K28-BS!K7</f>
        <v>0</v>
      </c>
      <c r="L8" s="77">
        <f>CF!L28-BS!L7</f>
        <v>0</v>
      </c>
      <c r="M8" s="77">
        <f>CF!M28-BS!M7</f>
        <v>0</v>
      </c>
      <c r="N8" s="77">
        <f>CF!N28-BS!N7</f>
        <v>0</v>
      </c>
      <c r="O8" s="77">
        <f>CF!O28-BS!O7</f>
        <v>0</v>
      </c>
      <c r="P8" s="77">
        <f>CF!P28-BS!P7</f>
        <v>0</v>
      </c>
      <c r="Q8" s="77">
        <f>CF!Q28-BS!Q7</f>
        <v>0</v>
      </c>
      <c r="R8" s="77">
        <f>CF!R28-BS!R7</f>
        <v>0</v>
      </c>
      <c r="S8" s="77">
        <f>CF!S28-BS!S7</f>
        <v>0</v>
      </c>
      <c r="T8" s="77">
        <f>CF!T28-BS!T7</f>
        <v>0</v>
      </c>
      <c r="U8" s="77">
        <f>CF!U28-BS!U7</f>
        <v>0</v>
      </c>
      <c r="W8" s="77">
        <f>CF!W28-BS!W7</f>
        <v>0</v>
      </c>
      <c r="X8" s="77">
        <f>CF!X28-BS!X7</f>
        <v>0</v>
      </c>
      <c r="Y8" s="77">
        <f>CF!Y28-BS!Y7</f>
        <v>0</v>
      </c>
      <c r="Z8" s="77">
        <f>CF!Z28-BS!Z7</f>
        <v>0</v>
      </c>
      <c r="AA8" s="77">
        <f>CF!AA28-BS!AA7</f>
        <v>0</v>
      </c>
      <c r="AB8" s="249">
        <v>0.01</v>
      </c>
      <c r="AC8" s="56" t="str">
        <f t="shared" si="0"/>
        <v>PASS</v>
      </c>
    </row>
    <row r="9" spans="1:30" ht="15" customHeight="1" x14ac:dyDescent="0.15">
      <c r="A9" s="57" t="s">
        <v>1111</v>
      </c>
      <c r="B9" s="77">
        <f>CF!B27+CF!B16+CF!B19+CF!B24+CF!B25-CF!B28</f>
        <v>0</v>
      </c>
      <c r="C9" s="77">
        <f>CF!C27+CF!C16+CF!C19+CF!C24+CF!C25-CF!C28</f>
        <v>0</v>
      </c>
      <c r="D9" s="77">
        <f>CF!D27+CF!D16+CF!D19+CF!D24+CF!D25-CF!D28</f>
        <v>0</v>
      </c>
      <c r="E9" s="77">
        <f>CF!E27+CF!E16+CF!E19+CF!E24+CF!E25-CF!E28</f>
        <v>0</v>
      </c>
      <c r="F9" s="77">
        <f>CF!F27+CF!F16+CF!F19+CF!F24+CF!F25-CF!F28</f>
        <v>0</v>
      </c>
      <c r="G9" s="77">
        <f>CF!G27+CF!G16+CF!G19+CF!G24+CF!G25-CF!G28</f>
        <v>0</v>
      </c>
      <c r="H9" s="77">
        <f>CF!H27+CF!H16+CF!H19+CF!H24+CF!H25-CF!H28</f>
        <v>0</v>
      </c>
      <c r="I9" s="77">
        <f>CF!I27+CF!I16+CF!I19+CF!I24+CF!I25-CF!I28</f>
        <v>0</v>
      </c>
      <c r="J9" s="77">
        <f>CF!J27+CF!J16+CF!J19+CF!J24+CF!J25-CF!J28</f>
        <v>0</v>
      </c>
      <c r="K9" s="77">
        <f>CF!K27+CF!K16+CF!K19+CF!K24+CF!K25-CF!K28</f>
        <v>0</v>
      </c>
      <c r="L9" s="77">
        <f>CF!L27+CF!L16+CF!L19+CF!L24+CF!L25-CF!L28</f>
        <v>0</v>
      </c>
      <c r="M9" s="77">
        <f>CF!M27+CF!M16+CF!M19+CF!M24+CF!M25-CF!M28</f>
        <v>0</v>
      </c>
      <c r="N9" s="77">
        <f>CF!N27+CF!N16+CF!N19+CF!N24+CF!N25-CF!N28</f>
        <v>0</v>
      </c>
      <c r="O9" s="77">
        <f>CF!O27+CF!O16+CF!O19+CF!O24+CF!O25-CF!O28</f>
        <v>0</v>
      </c>
      <c r="P9" s="77">
        <f>CF!P27+CF!P16+CF!P19+CF!P24+CF!P25-CF!P28</f>
        <v>0</v>
      </c>
      <c r="Q9" s="77">
        <f>CF!Q27+CF!Q16+CF!Q19+CF!Q24+CF!Q25-CF!Q28</f>
        <v>0</v>
      </c>
      <c r="R9" s="77">
        <f>CF!R27+CF!R16+CF!R19+CF!R24+CF!R25-CF!R28</f>
        <v>0</v>
      </c>
      <c r="S9" s="77">
        <f>CF!S27+CF!S16+CF!S19+CF!S24+CF!S25-CF!S28</f>
        <v>0</v>
      </c>
      <c r="T9" s="77">
        <f>CF!T27+CF!T16+CF!T19+CF!T24+CF!T25-CF!T28</f>
        <v>0</v>
      </c>
      <c r="U9" s="77">
        <f>CF!U27+CF!U16+CF!U19+CF!U24+CF!U25-CF!U28</f>
        <v>0</v>
      </c>
      <c r="W9" s="77">
        <f>CF!W27+CF!W16+CF!W19+CF!W24+CF!W25-CF!W28</f>
        <v>0</v>
      </c>
      <c r="X9" s="77">
        <f>CF!X27+CF!X16+CF!X19+CF!X24+CF!X25-CF!X28</f>
        <v>0</v>
      </c>
      <c r="Y9" s="77">
        <f>CF!Y27+CF!Y16+CF!Y19+CF!Y24+CF!Y25-CF!Y28</f>
        <v>0</v>
      </c>
      <c r="Z9" s="77">
        <f>CF!Z27+CF!Z16+CF!Z19+CF!Z24+CF!Z25-CF!Z28</f>
        <v>0</v>
      </c>
      <c r="AA9" s="77">
        <f>CF!AA27+CF!AA16+CF!AA19+CF!AA24+CF!AA25-CF!AA28</f>
        <v>0</v>
      </c>
      <c r="AB9" s="249">
        <v>0.01</v>
      </c>
      <c r="AC9" s="56" t="str">
        <f t="shared" si="0"/>
        <v>PASS</v>
      </c>
    </row>
    <row r="10" spans="1:30" ht="15" customHeight="1" x14ac:dyDescent="0.15">
      <c r="A10" s="57" t="s">
        <v>1112</v>
      </c>
      <c r="B10" s="77">
        <f>IS!B22-CF!B7</f>
        <v>0</v>
      </c>
      <c r="C10" s="77">
        <f>IS!C22-CF!C7</f>
        <v>0</v>
      </c>
      <c r="D10" s="77">
        <f>IS!D22-CF!D7</f>
        <v>0</v>
      </c>
      <c r="E10" s="77">
        <f>IS!E22-CF!E7</f>
        <v>0</v>
      </c>
      <c r="F10" s="77">
        <f>IS!F22-CF!F7</f>
        <v>0</v>
      </c>
      <c r="G10" s="77">
        <f>IS!G22-CF!G7</f>
        <v>0</v>
      </c>
      <c r="H10" s="77">
        <f>IS!H22-CF!H7</f>
        <v>0</v>
      </c>
      <c r="I10" s="77">
        <f>IS!I22-CF!I7</f>
        <v>0</v>
      </c>
      <c r="J10" s="77">
        <f>IS!J22-CF!J7</f>
        <v>0</v>
      </c>
      <c r="K10" s="77">
        <f>IS!K22-CF!K7</f>
        <v>0</v>
      </c>
      <c r="L10" s="77">
        <f>IS!L22-CF!L7</f>
        <v>0</v>
      </c>
      <c r="M10" s="77">
        <f>IS!M22-CF!M7</f>
        <v>0</v>
      </c>
      <c r="N10" s="77">
        <f>IS!N22-CF!N7</f>
        <v>0</v>
      </c>
      <c r="O10" s="77">
        <f>IS!O22-CF!O7</f>
        <v>0</v>
      </c>
      <c r="P10" s="77">
        <f>IS!P22-CF!P7</f>
        <v>0</v>
      </c>
      <c r="Q10" s="77">
        <f>IS!Q22-CF!Q7</f>
        <v>0</v>
      </c>
      <c r="R10" s="77">
        <f>IS!R22-CF!R7</f>
        <v>0</v>
      </c>
      <c r="S10" s="77">
        <f>IS!S22-CF!S7</f>
        <v>0</v>
      </c>
      <c r="T10" s="77">
        <f>IS!T22-CF!T7</f>
        <v>0</v>
      </c>
      <c r="U10" s="77">
        <f>IS!U22-CF!U7</f>
        <v>0</v>
      </c>
      <c r="W10" s="77">
        <f>IS!W22-CF!W7</f>
        <v>0</v>
      </c>
      <c r="X10" s="77">
        <f>IS!X22-CF!X7</f>
        <v>0</v>
      </c>
      <c r="Y10" s="77">
        <f>IS!Y22-CF!Y7</f>
        <v>0</v>
      </c>
      <c r="Z10" s="77">
        <f>IS!Z22-CF!Z7</f>
        <v>0</v>
      </c>
      <c r="AA10" s="77">
        <f>IS!AA22-CF!AA7</f>
        <v>0</v>
      </c>
      <c r="AB10" s="249">
        <v>0.01</v>
      </c>
      <c r="AC10" s="56" t="str">
        <f t="shared" si="0"/>
        <v>PASS</v>
      </c>
    </row>
    <row r="11" spans="1:30" ht="15" customHeight="1" x14ac:dyDescent="0.15">
      <c r="A11" s="57" t="s">
        <v>1113</v>
      </c>
      <c r="B11" s="77">
        <f>Segment!B10-IS!B7</f>
        <v>0</v>
      </c>
      <c r="C11" s="77">
        <f>Segment!C10-IS!C7</f>
        <v>0</v>
      </c>
      <c r="D11" s="77">
        <f>Segment!D10-IS!D7</f>
        <v>0</v>
      </c>
      <c r="E11" s="77">
        <f>Segment!E10-IS!E7</f>
        <v>0</v>
      </c>
      <c r="F11" s="77">
        <f>Segment!F10-IS!F7</f>
        <v>0</v>
      </c>
      <c r="G11" s="77">
        <f>Segment!G10-IS!G7</f>
        <v>0</v>
      </c>
      <c r="H11" s="77">
        <f>Segment!H10-IS!H7</f>
        <v>0</v>
      </c>
      <c r="I11" s="77">
        <f>Segment!I10-IS!I7</f>
        <v>0</v>
      </c>
      <c r="J11" s="77">
        <f>Segment!J10-IS!J7</f>
        <v>0</v>
      </c>
      <c r="K11" s="77">
        <f>Segment!K10-IS!K7</f>
        <v>0</v>
      </c>
      <c r="L11" s="77">
        <f>Segment!L10-IS!L7</f>
        <v>0</v>
      </c>
      <c r="M11" s="77">
        <f>Segment!M10-IS!M7</f>
        <v>0</v>
      </c>
      <c r="N11" s="77">
        <f>Segment!N10-IS!N7</f>
        <v>0</v>
      </c>
      <c r="O11" s="77">
        <f>Segment!O10-IS!O7</f>
        <v>0</v>
      </c>
      <c r="P11" s="77">
        <f>Segment!P10-IS!P7</f>
        <v>0</v>
      </c>
      <c r="Q11" s="77">
        <f>Segment!Q10-IS!Q7</f>
        <v>0</v>
      </c>
      <c r="R11" s="77">
        <f>Segment!R10-IS!R7</f>
        <v>0</v>
      </c>
      <c r="S11" s="77">
        <f>Segment!S10-IS!S7</f>
        <v>0</v>
      </c>
      <c r="T11" s="77">
        <f>Segment!T10-IS!T7</f>
        <v>0</v>
      </c>
      <c r="U11" s="77">
        <f>Segment!U10-IS!U7</f>
        <v>0</v>
      </c>
      <c r="W11" s="77">
        <f>Segment!W10-IS!W7</f>
        <v>0</v>
      </c>
      <c r="X11" s="77">
        <f>Segment!X10-IS!X7</f>
        <v>0</v>
      </c>
      <c r="Y11" s="77">
        <f>Segment!Y10-IS!Y7</f>
        <v>0</v>
      </c>
      <c r="Z11" s="77">
        <f>Segment!Z10-IS!Z7</f>
        <v>0</v>
      </c>
      <c r="AA11" s="77">
        <f>Segment!AA10-IS!AA7</f>
        <v>0</v>
      </c>
      <c r="AB11" s="249">
        <v>0.01</v>
      </c>
      <c r="AC11" s="56" t="str">
        <f t="shared" si="0"/>
        <v>PASS</v>
      </c>
    </row>
    <row r="12" spans="1:30" ht="15" customHeight="1" x14ac:dyDescent="0.15">
      <c r="A12" s="57" t="s">
        <v>1114</v>
      </c>
      <c r="B12" s="77">
        <f>SUM(Segment!B8:B9)-Segment!B10</f>
        <v>0</v>
      </c>
      <c r="C12" s="77">
        <f>SUM(Segment!C8:C9)-Segment!C10</f>
        <v>0</v>
      </c>
      <c r="D12" s="77">
        <f>SUM(Segment!D8:D9)-Segment!D10</f>
        <v>0</v>
      </c>
      <c r="E12" s="77">
        <f>SUM(Segment!E8:E9)-Segment!E10</f>
        <v>0</v>
      </c>
      <c r="F12" s="77">
        <f>SUM(Segment!F8:F9)-Segment!F10</f>
        <v>0</v>
      </c>
      <c r="G12" s="77">
        <f>SUM(Segment!G8:G9)-Segment!G10</f>
        <v>0</v>
      </c>
      <c r="H12" s="77">
        <f>SUM(Segment!H8:H9)-Segment!H10</f>
        <v>0</v>
      </c>
      <c r="I12" s="77">
        <f>SUM(Segment!I8:I9)-Segment!I10</f>
        <v>0</v>
      </c>
      <c r="J12" s="77">
        <f>SUM(Segment!J8:J9)-Segment!J10</f>
        <v>0</v>
      </c>
      <c r="K12" s="77">
        <f>SUM(Segment!K8:K9)-Segment!K10</f>
        <v>0</v>
      </c>
      <c r="L12" s="77">
        <f>SUM(Segment!L8:L9)-Segment!L10</f>
        <v>0</v>
      </c>
      <c r="M12" s="77">
        <f>SUM(Segment!M8:M9)-Segment!M10</f>
        <v>0</v>
      </c>
      <c r="N12" s="77">
        <f>SUM(Segment!N8:N9)-Segment!N10</f>
        <v>0</v>
      </c>
      <c r="O12" s="77">
        <f>SUM(Segment!O8:O9)-Segment!O10</f>
        <v>0</v>
      </c>
      <c r="P12" s="77">
        <f>SUM(Segment!P8:P9)-Segment!P10</f>
        <v>0</v>
      </c>
      <c r="Q12" s="77">
        <f>SUM(Segment!Q8:Q9)-Segment!Q10</f>
        <v>0</v>
      </c>
      <c r="R12" s="77">
        <f>SUM(Segment!R8:R9)-Segment!R10</f>
        <v>0</v>
      </c>
      <c r="S12" s="77">
        <f>SUM(Segment!S8:S9)-Segment!S10</f>
        <v>0</v>
      </c>
      <c r="T12" s="77">
        <f>SUM(Segment!T8:T9)-Segment!T10</f>
        <v>0</v>
      </c>
      <c r="U12" s="77">
        <f>SUM(Segment!U8:U9)-Segment!U10</f>
        <v>0</v>
      </c>
      <c r="W12" s="77">
        <f>SUM(Segment!W8:W9)-Segment!W10</f>
        <v>0</v>
      </c>
      <c r="X12" s="77">
        <f>SUM(Segment!X8:X9)-Segment!X10</f>
        <v>0</v>
      </c>
      <c r="Y12" s="77">
        <f>SUM(Segment!Y8:Y9)-Segment!Y10</f>
        <v>0</v>
      </c>
      <c r="Z12" s="77">
        <f>SUM(Segment!Z8:Z9)-Segment!Z10</f>
        <v>0</v>
      </c>
      <c r="AA12" s="77">
        <f>SUM(Segment!AA8:AA9)-Segment!AA10</f>
        <v>0</v>
      </c>
      <c r="AB12" s="249">
        <v>0.01</v>
      </c>
      <c r="AC12" s="56" t="str">
        <f t="shared" si="0"/>
        <v>PASS</v>
      </c>
    </row>
    <row r="13" spans="1:30" ht="15" customHeight="1" x14ac:dyDescent="0.15">
      <c r="A13" s="57" t="s">
        <v>1115</v>
      </c>
      <c r="B13" s="77">
        <f>Segment!B76-IS!B13</f>
        <v>0</v>
      </c>
      <c r="C13" s="77">
        <f>Segment!C76-IS!C13</f>
        <v>0</v>
      </c>
      <c r="D13" s="77">
        <f>Segment!D76-IS!D13</f>
        <v>0</v>
      </c>
      <c r="E13" s="77">
        <f>Segment!E76-IS!E13</f>
        <v>0</v>
      </c>
      <c r="F13" s="77">
        <f>Segment!F76-IS!F13</f>
        <v>0</v>
      </c>
      <c r="G13" s="77">
        <f>Segment!G76-IS!G13</f>
        <v>0</v>
      </c>
      <c r="H13" s="77">
        <f>Segment!H76-IS!H13</f>
        <v>0</v>
      </c>
      <c r="I13" s="77">
        <f>Segment!I76-IS!I13</f>
        <v>0</v>
      </c>
      <c r="J13" s="77">
        <f>Segment!J76-IS!J13</f>
        <v>0</v>
      </c>
      <c r="K13" s="77">
        <f>Segment!K76-IS!K13</f>
        <v>0</v>
      </c>
      <c r="L13" s="77">
        <f>Segment!L76-IS!L13</f>
        <v>0</v>
      </c>
      <c r="M13" s="77">
        <f>Segment!M76-IS!M13</f>
        <v>0</v>
      </c>
      <c r="N13" s="77">
        <f>Segment!N76-IS!N13</f>
        <v>0</v>
      </c>
      <c r="O13" s="77">
        <f>Segment!O76-IS!O13</f>
        <v>0</v>
      </c>
      <c r="P13" s="77">
        <f>Segment!P76-IS!P13</f>
        <v>0</v>
      </c>
      <c r="Q13" s="77">
        <f>Segment!Q76-IS!Q13</f>
        <v>0</v>
      </c>
      <c r="R13" s="77">
        <f>Segment!R76-IS!R13</f>
        <v>0</v>
      </c>
      <c r="S13" s="77">
        <f>Segment!S76-IS!S13</f>
        <v>0</v>
      </c>
      <c r="T13" s="77">
        <f>Segment!T76-IS!T13</f>
        <v>0</v>
      </c>
      <c r="U13" s="77">
        <f>Segment!U76-IS!U13</f>
        <v>0</v>
      </c>
      <c r="W13" s="77">
        <f>Segment!W76-IS!W13</f>
        <v>0</v>
      </c>
      <c r="X13" s="77">
        <f>Segment!X76-IS!X13</f>
        <v>0</v>
      </c>
      <c r="Y13" s="77">
        <f>Segment!Y76-IS!Y13</f>
        <v>0</v>
      </c>
      <c r="Z13" s="77">
        <f>Segment!Z76-IS!Z13</f>
        <v>0</v>
      </c>
      <c r="AA13" s="77">
        <f>Segment!AA76-IS!AA13</f>
        <v>0</v>
      </c>
      <c r="AB13" s="249">
        <v>0.01</v>
      </c>
      <c r="AC13" s="56" t="str">
        <f t="shared" si="0"/>
        <v>PASS</v>
      </c>
      <c r="AD13" s="58" t="s">
        <v>1116</v>
      </c>
    </row>
    <row r="14" spans="1:30" ht="15" customHeight="1" x14ac:dyDescent="0.15">
      <c r="A14" s="57" t="s">
        <v>1117</v>
      </c>
      <c r="B14" s="77">
        <f>IS!B7-Raw_Data!B8</f>
        <v>0</v>
      </c>
      <c r="C14" s="77">
        <f>IS!C7-Raw_Data!C8</f>
        <v>0</v>
      </c>
      <c r="D14" s="77">
        <f>IS!D7-Raw_Data!D8</f>
        <v>0</v>
      </c>
      <c r="E14" s="77">
        <f>IS!E7-Raw_Data!E8</f>
        <v>0</v>
      </c>
      <c r="F14" s="77">
        <f>IS!F7-Raw_Data!F8</f>
        <v>0</v>
      </c>
      <c r="G14" s="77">
        <f>IS!G7-Raw_Data!G8</f>
        <v>0</v>
      </c>
      <c r="H14" s="77">
        <f>IS!H7-Raw_Data!H8</f>
        <v>0</v>
      </c>
      <c r="I14" s="77">
        <f>IS!I7-Raw_Data!I8</f>
        <v>0</v>
      </c>
      <c r="J14" s="77">
        <f>IS!J7-Raw_Data!J8</f>
        <v>0</v>
      </c>
      <c r="K14" s="77">
        <f>IS!K7-Raw_Data!K8</f>
        <v>0</v>
      </c>
      <c r="AB14" s="249">
        <v>0.01</v>
      </c>
      <c r="AC14" s="56" t="str">
        <f>IF(SUMPRODUCT(--(ABS(B14:K14)&gt;AB14))=0,"PASS","FAIL")</f>
        <v>PASS</v>
      </c>
    </row>
    <row r="15" spans="1:30" ht="15" customHeight="1" x14ac:dyDescent="0.15">
      <c r="A15" s="57" t="s">
        <v>1118</v>
      </c>
      <c r="B15" s="77">
        <f>CF!B16-Raw_Data!B57</f>
        <v>0</v>
      </c>
      <c r="C15" s="77">
        <f>CF!C16-Raw_Data!C57</f>
        <v>0</v>
      </c>
      <c r="D15" s="77">
        <f>CF!D16-Raw_Data!D57</f>
        <v>0</v>
      </c>
      <c r="E15" s="77">
        <f>CF!E16-Raw_Data!E57</f>
        <v>0</v>
      </c>
      <c r="F15" s="77">
        <f>CF!F16-Raw_Data!F57</f>
        <v>0</v>
      </c>
      <c r="G15" s="77">
        <f>CF!G16-Raw_Data!G57</f>
        <v>0</v>
      </c>
      <c r="H15" s="77">
        <f>CF!H16-Raw_Data!H57</f>
        <v>0</v>
      </c>
      <c r="I15" s="77">
        <f>CF!I16-Raw_Data!I57</f>
        <v>0</v>
      </c>
      <c r="J15" s="77">
        <f>CF!J16-Raw_Data!J57</f>
        <v>0</v>
      </c>
      <c r="K15" s="77">
        <f>CF!K16-Raw_Data!K57</f>
        <v>0</v>
      </c>
      <c r="AB15" s="249">
        <v>0.01</v>
      </c>
      <c r="AC15" s="56" t="str">
        <f>IF(SUMPRODUCT(--(ABS(B15:K15)&gt;AB15))=0,"PASS","FAIL")</f>
        <v>PASS</v>
      </c>
    </row>
    <row r="16" spans="1:30" ht="15" customHeight="1" x14ac:dyDescent="0.15">
      <c r="A16" s="57" t="s">
        <v>1119</v>
      </c>
      <c r="L16" s="77">
        <f>BS!L16</f>
        <v>2928</v>
      </c>
      <c r="M16" s="77">
        <f>BS!M16</f>
        <v>2858</v>
      </c>
      <c r="N16" s="77">
        <f>BS!N16</f>
        <v>2788</v>
      </c>
      <c r="O16" s="77">
        <f>BS!O16</f>
        <v>2718</v>
      </c>
      <c r="P16" s="77">
        <f>BS!P16</f>
        <v>2648</v>
      </c>
      <c r="Q16" s="77">
        <f>BS!Q16</f>
        <v>2578</v>
      </c>
      <c r="R16" s="77">
        <f>BS!R16</f>
        <v>2508</v>
      </c>
      <c r="S16" s="77">
        <f>BS!S16</f>
        <v>2438</v>
      </c>
      <c r="T16" s="77">
        <f>BS!T16</f>
        <v>2368</v>
      </c>
      <c r="U16" s="77">
        <f>BS!U16</f>
        <v>2298</v>
      </c>
      <c r="Y16" s="77">
        <f>BS!Y16</f>
        <v>2858</v>
      </c>
      <c r="Z16" s="77">
        <f>BS!Z16</f>
        <v>2578</v>
      </c>
      <c r="AA16" s="77">
        <f>BS!AA16</f>
        <v>2298</v>
      </c>
      <c r="AB16" s="249">
        <v>0</v>
      </c>
      <c r="AC16" s="56" t="str">
        <f>IF(MIN(L16:U16,Y16:AA16)&gt;=0,"PASS","FAIL")</f>
        <v>PASS</v>
      </c>
    </row>
    <row r="17" spans="1:30" ht="15" customHeight="1" x14ac:dyDescent="0.15">
      <c r="A17" s="57" t="s">
        <v>1120</v>
      </c>
      <c r="L17" s="77">
        <f>BS!L7</f>
        <v>35100.796951367389</v>
      </c>
      <c r="M17" s="77">
        <f>BS!M7</f>
        <v>50366.12336055444</v>
      </c>
      <c r="N17" s="77">
        <f>BS!N7</f>
        <v>69246.169568234138</v>
      </c>
      <c r="O17" s="77">
        <f>BS!O7</f>
        <v>83391.141953655839</v>
      </c>
      <c r="P17" s="77">
        <f>BS!P7</f>
        <v>115521.55775916073</v>
      </c>
      <c r="Q17" s="77">
        <f>BS!Q7</f>
        <v>153133.30971036979</v>
      </c>
      <c r="R17" s="77">
        <f>BS!R7</f>
        <v>201132.44922252261</v>
      </c>
      <c r="S17" s="77">
        <f>BS!S7</f>
        <v>252215.18668914156</v>
      </c>
      <c r="T17" s="77">
        <f>BS!T7</f>
        <v>306780.62922896445</v>
      </c>
      <c r="U17" s="77">
        <f>BS!U7</f>
        <v>364243.75259834039</v>
      </c>
      <c r="Y17" s="77">
        <f>BS!Y7</f>
        <v>50366.12336055444</v>
      </c>
      <c r="Z17" s="77">
        <f>BS!Z7</f>
        <v>153133.30971036979</v>
      </c>
      <c r="AA17" s="77">
        <f>BS!AA7</f>
        <v>364243.75259834039</v>
      </c>
      <c r="AB17" s="249">
        <v>0</v>
      </c>
      <c r="AC17" s="56" t="str">
        <f>IF(MIN(L17:U17,Y17:AA17)&gt;=0,"PASS","FAIL")</f>
        <v>PASS</v>
      </c>
    </row>
    <row r="18" spans="1:30" ht="15" customHeight="1" x14ac:dyDescent="0.15">
      <c r="A18" s="57" t="s">
        <v>1121</v>
      </c>
      <c r="B18" s="77">
        <f>BS!B33-BS!B30-BS!B31-BS!B32</f>
        <v>0</v>
      </c>
      <c r="C18" s="77">
        <f>BS!C33-BS!C30-BS!C31-BS!C32</f>
        <v>0</v>
      </c>
      <c r="D18" s="77">
        <f>BS!D33-BS!D30-BS!D31-BS!D32</f>
        <v>0</v>
      </c>
      <c r="E18" s="77">
        <f>BS!E33-BS!E30-BS!E31-BS!E32</f>
        <v>0</v>
      </c>
      <c r="F18" s="77">
        <f>BS!F33-BS!F30-BS!F31-BS!F32</f>
        <v>0</v>
      </c>
      <c r="G18" s="77">
        <f>BS!G33-BS!G30-BS!G31-BS!G32</f>
        <v>0</v>
      </c>
      <c r="H18" s="77">
        <f>BS!H33-BS!H30-BS!H31-BS!H32</f>
        <v>0</v>
      </c>
      <c r="I18" s="77">
        <f>BS!I33-BS!I30-BS!I31-BS!I32</f>
        <v>0</v>
      </c>
      <c r="J18" s="77">
        <f>BS!J33-BS!J30-BS!J31-BS!J32</f>
        <v>0</v>
      </c>
      <c r="K18" s="77">
        <f>BS!K33-BS!K30-BS!K31-BS!K32</f>
        <v>0</v>
      </c>
      <c r="L18" s="77">
        <f>BS!L33-BS!L30-BS!L31-BS!L32</f>
        <v>-2.9103830456733704E-11</v>
      </c>
      <c r="M18" s="77">
        <f>BS!M33-BS!M30-BS!M31-BS!M32</f>
        <v>0</v>
      </c>
      <c r="N18" s="77">
        <f>BS!N33-BS!N30-BS!N31-BS!N32</f>
        <v>0</v>
      </c>
      <c r="O18" s="77">
        <f>BS!O33-BS!O30-BS!O31-BS!O32</f>
        <v>0</v>
      </c>
      <c r="P18" s="77">
        <f>BS!P33-BS!P30-BS!P31-BS!P32</f>
        <v>0</v>
      </c>
      <c r="Q18" s="77">
        <f>BS!Q33-BS!Q30-BS!Q31-BS!Q32</f>
        <v>0</v>
      </c>
      <c r="R18" s="77">
        <f>BS!R33-BS!R30-BS!R31-BS!R32</f>
        <v>0</v>
      </c>
      <c r="S18" s="77">
        <f>BS!S33-BS!S30-BS!S31-BS!S32</f>
        <v>0</v>
      </c>
      <c r="T18" s="77">
        <f>BS!T33-BS!T30-BS!T31-BS!T32</f>
        <v>0</v>
      </c>
      <c r="U18" s="77">
        <f>BS!U33-BS!U30-BS!U31-BS!U32</f>
        <v>0</v>
      </c>
      <c r="W18" s="77">
        <f>BS!W33-BS!W30-BS!W31-BS!W32</f>
        <v>0</v>
      </c>
      <c r="X18" s="77">
        <f>BS!X33-BS!X30-BS!X31-BS!X32</f>
        <v>0</v>
      </c>
      <c r="Y18" s="77">
        <f>BS!Y33-BS!Y30-BS!Y31-BS!Y32</f>
        <v>0</v>
      </c>
      <c r="Z18" s="77">
        <f>BS!Z33-BS!Z30-BS!Z31-BS!Z32</f>
        <v>0</v>
      </c>
      <c r="AA18" s="77">
        <f>BS!AA33-BS!AA30-BS!AA31-BS!AA32</f>
        <v>0</v>
      </c>
      <c r="AB18" s="249">
        <v>0.01</v>
      </c>
      <c r="AC18" s="56" t="str">
        <f>IF(SUMPRODUCT(--(ABS(B18:AA18)&gt;AB18))=0,"PASS","FAIL")</f>
        <v>PASS</v>
      </c>
    </row>
    <row r="19" spans="1:30" ht="13.5" customHeight="1" x14ac:dyDescent="0.15">
      <c r="A19" s="57" t="s">
        <v>1122</v>
      </c>
      <c r="L19" s="76">
        <f>Segment!L78</f>
        <v>0.70494295281327302</v>
      </c>
      <c r="M19" s="76">
        <f>Segment!M78</f>
        <v>0.6751956407625751</v>
      </c>
      <c r="N19" s="76">
        <f>Segment!N78</f>
        <v>0.68146280191249831</v>
      </c>
      <c r="O19" s="76">
        <f>Segment!O78</f>
        <v>0.68672613322456488</v>
      </c>
      <c r="P19" s="76">
        <f>Segment!P78</f>
        <v>0.69011271726265</v>
      </c>
      <c r="Q19" s="76">
        <f>Segment!Q78</f>
        <v>0.69125495608321941</v>
      </c>
      <c r="R19" s="76">
        <f>Segment!R78</f>
        <v>0.69198331050027273</v>
      </c>
      <c r="S19" s="76">
        <f>Segment!S78</f>
        <v>0.69144071277679742</v>
      </c>
      <c r="T19" s="76">
        <f>Segment!T78</f>
        <v>0.691010631530663</v>
      </c>
      <c r="U19" s="76">
        <f>Segment!U78</f>
        <v>0.68983505650310972</v>
      </c>
      <c r="AB19" s="76">
        <v>0.05</v>
      </c>
      <c r="AC19" s="56" t="str">
        <f>IF(AND(MIN(L19:U19)&gt;=MIN(Segment!B78:K78)-AB19,MAX(L19:U19)&lt;=MAX(Segment!B78:K78)+AB19),"PASS","REVIEW")</f>
        <v>PASS</v>
      </c>
      <c r="AD19" s="58" t="s">
        <v>1123</v>
      </c>
    </row>
    <row r="20" spans="1:30" ht="15" customHeight="1" x14ac:dyDescent="0.15">
      <c r="A20" s="59" t="s">
        <v>1124</v>
      </c>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row>
    <row r="21" spans="1:30" ht="15" customHeight="1" x14ac:dyDescent="0.15">
      <c r="A21" s="57" t="s">
        <v>1125</v>
      </c>
      <c r="B21" s="57" t="str">
        <f>IF(AND(COUNT(Raw_Data!C298:C310)=13,COUNT(Consensus!F76:F86)=9,COUNT(Raw_Data!E176:E190)=15),"PASS","REVIEW")</f>
        <v>PASS</v>
      </c>
      <c r="AD21" s="58" t="s">
        <v>1126</v>
      </c>
    </row>
    <row r="22" spans="1:30" ht="15" customHeight="1" x14ac:dyDescent="0.15">
      <c r="A22" s="57" t="s">
        <v>1127</v>
      </c>
      <c r="B22" s="57" t="str">
        <f>IF(ABS(Comps!S5-Raw_Data!I171/Raw_Data!P171)&lt;0.01,"PASS","REVIEW")</f>
        <v>PASS</v>
      </c>
      <c r="AD22" s="58" t="s">
        <v>1128</v>
      </c>
    </row>
    <row r="23" spans="1:30" ht="15" customHeight="1" x14ac:dyDescent="0.15">
      <c r="A23" s="57" t="s">
        <v>1129</v>
      </c>
      <c r="B23" s="57" t="str">
        <f>IF(AND(COUNTA(Comps!B6:B10)=5,COUNTA(Comps!B15:B17)=3,COUNT(Comps!S6:S10)=5,COUNT(Comps!S15:S17)=3),"PASS","REVIEW")</f>
        <v>PASS</v>
      </c>
      <c r="AD23" s="58" t="s">
        <v>1130</v>
      </c>
    </row>
    <row r="24" spans="1:30" ht="15" customHeight="1" x14ac:dyDescent="0.15">
      <c r="A24" s="57" t="s">
        <v>1131</v>
      </c>
      <c r="B24" s="57" t="str">
        <f>IF(AND(Guidance!B55+Guidance!C55+Guidance!D55=38,Guidance!B57+Guidance!C57+Guidance!D57=38,Guidance!B58+Guidance!C58+Guidance!D58=38),"PASS","REVIEW")</f>
        <v>PASS</v>
      </c>
      <c r="AD24" s="58" t="s">
        <v>1132</v>
      </c>
    </row>
    <row r="25" spans="1:30" ht="13.5" customHeight="1" x14ac:dyDescent="0.15">
      <c r="A25" s="57" t="s">
        <v>1133</v>
      </c>
      <c r="B25" s="57" t="str">
        <f>IF(AND(IS!L7&gt;=Guidance!B65,IS!L7&lt;=Guidance!D65),"PASS","REVIEW")</f>
        <v>PASS</v>
      </c>
      <c r="AD25" s="58" t="s">
        <v>1134</v>
      </c>
    </row>
    <row r="26" spans="1:30" ht="15" customHeight="1" x14ac:dyDescent="0.15">
      <c r="A26" s="59" t="s">
        <v>1135</v>
      </c>
    </row>
    <row r="27" spans="1:30" ht="15" customHeight="1" x14ac:dyDescent="0.15">
      <c r="A27" s="57" t="s">
        <v>1136</v>
      </c>
      <c r="D27" s="77">
        <f>IF(ISNUMBER(Raw_Data!D141),IS!D67-Raw_Data!D141,0)</f>
        <v>0</v>
      </c>
      <c r="E27" s="77">
        <f>IF(ISNUMBER(Raw_Data!E141),IS!E67-Raw_Data!E141,0)</f>
        <v>0</v>
      </c>
      <c r="F27" s="77">
        <f>IF(ISNUMBER(Raw_Data!F141),IS!F67-Raw_Data!F141,0)+IF(ISNUMBER(Raw_Data!F119),IS!F45-Raw_Data!F119,0)</f>
        <v>0</v>
      </c>
      <c r="G27" s="77">
        <f>IF(ISNUMBER(Raw_Data!G141),IS!G67-Raw_Data!G141,0)+IF(ISNUMBER(Raw_Data!G119),IS!G45-Raw_Data!G119,0)</f>
        <v>0</v>
      </c>
      <c r="H27" s="77">
        <f>IF(ISNUMBER(Raw_Data!H141),IS!H67-Raw_Data!H141,0)</f>
        <v>0</v>
      </c>
      <c r="I27" s="77">
        <f>IF(ISNUMBER(Raw_Data!I141),IS!I67-Raw_Data!I141,0)+IF(ISNUMBER(Raw_Data!I119),IS!I45-Raw_Data!I119,0)</f>
        <v>0</v>
      </c>
      <c r="J27" s="77">
        <f>IF(ISNUMBER(Raw_Data!J119),IS!J45-Raw_Data!J119,0)</f>
        <v>0</v>
      </c>
      <c r="K27" s="77">
        <f>IF(ISNUMBER(Raw_Data!K119),IS!K45-Raw_Data!K119,0)</f>
        <v>0</v>
      </c>
      <c r="W27" s="77">
        <f>IF(ISNUMBER(Raw_Data!Q141),IS!W67-Raw_Data!Q141,0)</f>
        <v>0</v>
      </c>
      <c r="X27" s="77">
        <f>IF(ISNUMBER(Raw_Data!R141),IS!X67-Raw_Data!R141,0)</f>
        <v>0</v>
      </c>
      <c r="AB27" s="57">
        <v>0.6</v>
      </c>
      <c r="AC27" s="56" t="str">
        <f>IF(SUMPRODUCT(--(ABS(B27:AA27)&gt;AB27))=0,"PASS","FAIL")</f>
        <v>PASS</v>
      </c>
      <c r="AD27" s="58" t="s">
        <v>1137</v>
      </c>
    </row>
    <row r="28" spans="1:30" ht="15" customHeight="1" x14ac:dyDescent="0.15">
      <c r="A28" s="57" t="s">
        <v>1138</v>
      </c>
      <c r="D28" s="77">
        <f>IF(ISNUMBER(Raw_Data!D144),IS!D69-Raw_Data!D144,0)</f>
        <v>0</v>
      </c>
      <c r="E28" s="77">
        <f>IF(ISNUMBER(Raw_Data!E144),IS!E69-Raw_Data!E144,0)</f>
        <v>0</v>
      </c>
      <c r="F28" s="77">
        <f>IF(ISNUMBER(Raw_Data!F144),IS!F69-Raw_Data!F144,0)+IF(ISNUMBER(Raw_Data!F122),IS!F47-Raw_Data!F122,0)</f>
        <v>0</v>
      </c>
      <c r="G28" s="77">
        <f>IF(ISNUMBER(Raw_Data!G144),IS!G69-Raw_Data!G144,0)+IF(ISNUMBER(Raw_Data!G122),IS!G47-Raw_Data!G122,0)</f>
        <v>0</v>
      </c>
      <c r="H28" s="77">
        <f>IF(ISNUMBER(Raw_Data!H144),IS!H69-Raw_Data!H144,0)</f>
        <v>0</v>
      </c>
      <c r="I28" s="77">
        <f>IF(ISNUMBER(Raw_Data!I144),IS!I69-Raw_Data!I144,0)+IF(ISNUMBER(Raw_Data!I122),IS!I47-Raw_Data!I122,0)</f>
        <v>0</v>
      </c>
      <c r="J28" s="77">
        <f>IF(ISNUMBER(Raw_Data!J122),IS!J47-Raw_Data!J122,0)</f>
        <v>0</v>
      </c>
      <c r="K28" s="77">
        <f>IF(ISNUMBER(Raw_Data!K122),IS!K47-Raw_Data!K122,0)</f>
        <v>0</v>
      </c>
      <c r="W28" s="77">
        <f>IF(ISNUMBER(Raw_Data!Q144),IS!W69-Raw_Data!Q144,0)</f>
        <v>0</v>
      </c>
      <c r="X28" s="77">
        <f>IF(ISNUMBER(Raw_Data!R144),IS!X69-Raw_Data!R144,0)</f>
        <v>0</v>
      </c>
      <c r="AB28" s="57">
        <v>0.6</v>
      </c>
      <c r="AC28" s="56" t="str">
        <f>IF(SUMPRODUCT(--(ABS(B28:AA28)&gt;AB28))=0,"PASS","FAIL")</f>
        <v>PASS</v>
      </c>
      <c r="AD28" s="58" t="s">
        <v>1137</v>
      </c>
    </row>
    <row r="29" spans="1:30" ht="15" customHeight="1" x14ac:dyDescent="0.15">
      <c r="A29" s="57" t="s">
        <v>1139</v>
      </c>
      <c r="D29" s="77">
        <f>IF(ISNUMBER(Raw_Data!D146),IS!D70-Raw_Data!D146,0)</f>
        <v>0</v>
      </c>
      <c r="E29" s="77">
        <f>IF(ISNUMBER(Raw_Data!E146),IS!E70-Raw_Data!E146,0)</f>
        <v>0</v>
      </c>
      <c r="F29" s="77">
        <f>IF(ISNUMBER(Raw_Data!F146),IS!F70-Raw_Data!F146,0)+IF(ISNUMBER(Raw_Data!F124),IS!F48-Raw_Data!F124,0)</f>
        <v>0</v>
      </c>
      <c r="G29" s="77">
        <f>IF(ISNUMBER(Raw_Data!G146),IS!G70-Raw_Data!G146,0)+IF(ISNUMBER(Raw_Data!G124),IS!G48-Raw_Data!G124,0)</f>
        <v>0</v>
      </c>
      <c r="H29" s="77">
        <f>IF(ISNUMBER(Raw_Data!H146),IS!H70-Raw_Data!H146,0)</f>
        <v>0</v>
      </c>
      <c r="I29" s="77">
        <f>IF(ISNUMBER(Raw_Data!I146),IS!I70-Raw_Data!I146,0)+IF(ISNUMBER(Raw_Data!I124),IS!I48-Raw_Data!I124,0)</f>
        <v>0</v>
      </c>
      <c r="J29" s="77">
        <f>IF(ISNUMBER(Raw_Data!J124),IS!J48-Raw_Data!J124,0)</f>
        <v>0</v>
      </c>
      <c r="K29" s="77">
        <f>IF(ISNUMBER(Raw_Data!K124),IS!K48-Raw_Data!K124,0)</f>
        <v>0</v>
      </c>
      <c r="W29" s="77">
        <f>IF(ISNUMBER(Raw_Data!Q146),IS!W70-Raw_Data!Q146,0)</f>
        <v>0</v>
      </c>
      <c r="X29" s="77">
        <f>IF(ISNUMBER(Raw_Data!R146),IS!X70-Raw_Data!R146,0)</f>
        <v>0</v>
      </c>
      <c r="AB29" s="57">
        <v>0.6</v>
      </c>
      <c r="AC29" s="56" t="str">
        <f>IF(SUMPRODUCT(--(ABS(B29:AA29)&gt;AB29))=0,"PASS","FAIL")</f>
        <v>PASS</v>
      </c>
      <c r="AD29" s="58" t="s">
        <v>1137</v>
      </c>
    </row>
    <row r="30" spans="1:30" ht="15" customHeight="1" x14ac:dyDescent="0.15">
      <c r="A30" s="57" t="s">
        <v>1140</v>
      </c>
      <c r="D30" s="93">
        <f>IF(ISNUMBER(Raw_Data!D147),IS!D71-Raw_Data!D147,0)</f>
        <v>-2.2983773310729649E-3</v>
      </c>
      <c r="E30" s="93">
        <f>IF(ISNUMBER(Raw_Data!E147),IS!E71-Raw_Data!E147,0)</f>
        <v>3.1433659839714689E-3</v>
      </c>
      <c r="F30" s="93">
        <f>IF(ISNUMBER(Raw_Data!F147),IS!F71-Raw_Data!F147,0)+IF(ISNUMBER(Raw_Data!F125),IS!F49-Raw_Data!F125,0)</f>
        <v>-5.8303197757101355E-3</v>
      </c>
      <c r="G30" s="93">
        <f>IF(ISNUMBER(Raw_Data!G147),IS!G71-Raw_Data!G147,0)+IF(ISNUMBER(Raw_Data!G125),IS!G49-Raw_Data!G125,0)</f>
        <v>4.1089189629861522E-4</v>
      </c>
      <c r="H30" s="93">
        <f>IF(ISNUMBER(Raw_Data!H147),IS!H71-Raw_Data!H147,0)</f>
        <v>-2.4874402646735128E-3</v>
      </c>
      <c r="I30" s="93">
        <f>IF(ISNUMBER(Raw_Data!I147),IS!I71-Raw_Data!I147,0)+IF(ISNUMBER(Raw_Data!I125),IS!I49-Raw_Data!I125,0)</f>
        <v>3.8588736083822184E-3</v>
      </c>
      <c r="J30" s="93">
        <f>IF(ISNUMBER(Raw_Data!J125),IS!J49-Raw_Data!J125,0)</f>
        <v>-2.5898897134188914E-3</v>
      </c>
      <c r="K30" s="93">
        <f>IF(ISNUMBER(Raw_Data!K125),IS!K49-Raw_Data!K125,0)</f>
        <v>1.700638254066078E-3</v>
      </c>
      <c r="W30" s="93">
        <f>IF(ISNUMBER(Raw_Data!Q147),IS!W71-Raw_Data!Q147,0)</f>
        <v>0</v>
      </c>
      <c r="X30" s="93">
        <f>IF(ISNUMBER(Raw_Data!R147),IS!X71-Raw_Data!R147,0)</f>
        <v>0</v>
      </c>
      <c r="AB30" s="57">
        <v>0.01</v>
      </c>
      <c r="AC30" s="56" t="str">
        <f>IF(SUMPRODUCT(--(ABS(B30:AA30)&gt;AB30))=0,"PASS","FAIL")</f>
        <v>PASS</v>
      </c>
      <c r="AD30" s="58" t="s">
        <v>1137</v>
      </c>
    </row>
    <row r="31" spans="1:30" ht="15" customHeight="1" x14ac:dyDescent="0.15">
      <c r="A31" s="57" t="s">
        <v>1141</v>
      </c>
      <c r="D31" s="77">
        <f>IF(ISNUMBER(Raw_Data!D151),(Raw_Data!D148+Raw_Data!D149+Raw_Data!D150)-Raw_Data!D151,0)</f>
        <v>0</v>
      </c>
      <c r="E31" s="77">
        <f>IF(ISNUMBER(Raw_Data!E151),(Raw_Data!E148+Raw_Data!E149+Raw_Data!E150)-Raw_Data!E151,0)</f>
        <v>0</v>
      </c>
      <c r="F31" s="77">
        <f>IF(ISNUMBER(Raw_Data!F151),(Raw_Data!F148+Raw_Data!F149+Raw_Data!F150)-Raw_Data!F151,0)+IF(ISNUMBER(Raw_Data!F129),(Raw_Data!F126+Raw_Data!F127+Raw_Data!F128)-Raw_Data!F129,0)</f>
        <v>0</v>
      </c>
      <c r="G31" s="77">
        <f>IF(ISNUMBER(Raw_Data!G151),(Raw_Data!G148+Raw_Data!G149+Raw_Data!G150)-Raw_Data!G151,0)+IF(ISNUMBER(Raw_Data!G129),(Raw_Data!G126+Raw_Data!G127+Raw_Data!G128)-Raw_Data!G129,0)</f>
        <v>0</v>
      </c>
      <c r="H31" s="77">
        <f>IF(ISNUMBER(Raw_Data!H151),(Raw_Data!H148+Raw_Data!H149+Raw_Data!H150)-Raw_Data!H151,0)</f>
        <v>0</v>
      </c>
      <c r="I31" s="77">
        <f>IF(ISNUMBER(Raw_Data!I151),(Raw_Data!I148+Raw_Data!I149+Raw_Data!I150)-Raw_Data!I151,0)+IF(ISNUMBER(Raw_Data!I129),(Raw_Data!I126+Raw_Data!I127+Raw_Data!I128)-Raw_Data!I129,0)</f>
        <v>0</v>
      </c>
      <c r="J31" s="77">
        <f>IF(ISNUMBER(Raw_Data!J129),(Raw_Data!J126+Raw_Data!J127+Raw_Data!J128)-Raw_Data!J129,0)</f>
        <v>0</v>
      </c>
      <c r="K31" s="77">
        <f>IF(ISNUMBER(Raw_Data!K129),(Raw_Data!K126+Raw_Data!K127+Raw_Data!K128)-Raw_Data!K129,0)</f>
        <v>0</v>
      </c>
      <c r="W31" s="77">
        <f>IF(ISNUMBER(Raw_Data!Q151),(Raw_Data!Q148+Raw_Data!Q149+Raw_Data!Q150)-Raw_Data!Q151,0)</f>
        <v>0</v>
      </c>
      <c r="X31" s="77">
        <f>IF(ISNUMBER(Raw_Data!R151),(Raw_Data!R148+Raw_Data!R149+Raw_Data!R150)-Raw_Data!R151,0)</f>
        <v>0</v>
      </c>
      <c r="AB31" s="57">
        <v>0.6</v>
      </c>
      <c r="AC31" s="56" t="str">
        <f>IF(SUMPRODUCT(--(ABS(B31:AA31)&gt;AB31))=0,"PASS","FAIL")</f>
        <v>PASS</v>
      </c>
      <c r="AD31" s="58" t="s">
        <v>1142</v>
      </c>
    </row>
    <row r="33" spans="1:30" ht="13.5" customHeight="1" x14ac:dyDescent="0.15">
      <c r="A33" s="57" t="s">
        <v>1143</v>
      </c>
      <c r="B33" s="289">
        <f>IS!Z7/IS!Y7-1-Assumptions!AA74</f>
        <v>0</v>
      </c>
      <c r="AB33" s="249">
        <v>5.0000000000000001E-3</v>
      </c>
      <c r="AC33" s="56" t="str">
        <f>IF(ABS(B33)&lt;=AB33,"PASS","REVIEW")</f>
        <v>PASS</v>
      </c>
      <c r="AD33" s="58" t="s">
        <v>1144</v>
      </c>
    </row>
    <row r="34" spans="1:30" ht="13.5" customHeight="1" x14ac:dyDescent="0.15">
      <c r="A34" s="57" t="s">
        <v>1145</v>
      </c>
      <c r="B34" s="290">
        <f>ABS(Assumptions!AA76-1)+ABS(Assumptions!AB76-1)</f>
        <v>0</v>
      </c>
      <c r="AB34" s="249">
        <v>1E-4</v>
      </c>
      <c r="AC34" s="56" t="str">
        <f>IF(B34&lt;=AB34,"PASS","REVIEW")</f>
        <v>PASS</v>
      </c>
      <c r="AD34" s="58" t="s">
        <v>1146</v>
      </c>
    </row>
    <row r="35" spans="1:30" ht="13.5" customHeight="1" x14ac:dyDescent="0.15">
      <c r="A35" t="s">
        <v>1147</v>
      </c>
      <c r="B35">
        <f>62-COUNT(Raw_Data!E349:K357)</f>
        <v>0</v>
      </c>
      <c r="AB35">
        <v>0</v>
      </c>
      <c r="AC35" t="str">
        <f>IF(B35&lt;=AB35,"PASS","REVIEW")</f>
        <v>PASS</v>
      </c>
      <c r="AD35" t="s">
        <v>1148</v>
      </c>
    </row>
  </sheetData>
  <phoneticPr fontId="61" type="noConversion"/>
  <pageMargins left="0.75" right="0.75" top="1" bottom="1" header="0.511811023622047" footer="0.511811023622047"/>
  <pageSetup paperSize="9"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38"/>
  <sheetViews>
    <sheetView showGridLines="0" topLeftCell="A26" zoomScaleNormal="100" workbookViewId="0">
      <selection activeCell="G49" sqref="G49"/>
    </sheetView>
  </sheetViews>
  <sheetFormatPr baseColWidth="10" defaultColWidth="8.6640625" defaultRowHeight="14" x14ac:dyDescent="0.15"/>
  <cols>
    <col min="1" max="1" width="52" customWidth="1"/>
    <col min="2" max="2" width="14" customWidth="1"/>
    <col min="3" max="12" width="13" customWidth="1"/>
    <col min="13" max="13" width="60" customWidth="1"/>
  </cols>
  <sheetData>
    <row r="1" spans="1:12" ht="21.75" customHeight="1" x14ac:dyDescent="0.2">
      <c r="A1" s="68" t="s">
        <v>1149</v>
      </c>
      <c r="B1" s="68"/>
      <c r="C1" s="68"/>
      <c r="D1" s="68"/>
      <c r="E1" s="68"/>
      <c r="F1" s="68"/>
      <c r="G1" s="68"/>
      <c r="H1" s="68"/>
      <c r="I1" s="68"/>
      <c r="J1" s="68"/>
      <c r="K1" s="68"/>
      <c r="L1" s="68"/>
    </row>
    <row r="2" spans="1:12" ht="15" customHeight="1" x14ac:dyDescent="0.15">
      <c r="A2" s="291" t="s">
        <v>1150</v>
      </c>
    </row>
    <row r="3" spans="1:12" ht="15" customHeight="1" x14ac:dyDescent="0.15">
      <c r="A3" s="61" t="s">
        <v>1151</v>
      </c>
    </row>
    <row r="4" spans="1:12" ht="15" customHeight="1" x14ac:dyDescent="0.15">
      <c r="A4" s="58" t="s">
        <v>1152</v>
      </c>
    </row>
    <row r="5" spans="1:12" ht="13.5" customHeight="1" x14ac:dyDescent="0.15">
      <c r="A5" s="58" t="s">
        <v>1153</v>
      </c>
    </row>
    <row r="6" spans="1:12" ht="15" customHeight="1" x14ac:dyDescent="0.15">
      <c r="A6" s="53" t="s">
        <v>1154</v>
      </c>
      <c r="B6" s="53"/>
      <c r="C6" s="53"/>
      <c r="D6" s="53"/>
      <c r="E6" s="53"/>
      <c r="F6" s="53"/>
      <c r="G6" s="53"/>
      <c r="H6" s="53"/>
      <c r="I6" s="53"/>
      <c r="J6" s="53"/>
      <c r="K6" s="53"/>
      <c r="L6" s="53"/>
    </row>
    <row r="7" spans="1:12" ht="15" customHeight="1" x14ac:dyDescent="0.15">
      <c r="A7" s="61" t="s">
        <v>1155</v>
      </c>
      <c r="B7" s="292">
        <f>DATE(2026,10,8)</f>
        <v>46303</v>
      </c>
      <c r="C7" s="58" t="s">
        <v>1156</v>
      </c>
    </row>
    <row r="8" spans="1:12" ht="15" customHeight="1" x14ac:dyDescent="0.15">
      <c r="A8" s="61" t="s">
        <v>1157</v>
      </c>
      <c r="B8" s="293">
        <v>5.2200000000000003E-2</v>
      </c>
      <c r="C8" s="58" t="s">
        <v>1158</v>
      </c>
    </row>
    <row r="9" spans="1:12" ht="15" customHeight="1" x14ac:dyDescent="0.15">
      <c r="A9" s="61" t="s">
        <v>1159</v>
      </c>
      <c r="B9" s="294">
        <v>1.8279000000000001</v>
      </c>
      <c r="C9" s="58" t="s">
        <v>1160</v>
      </c>
    </row>
    <row r="10" spans="1:12" ht="15" customHeight="1" x14ac:dyDescent="0.15">
      <c r="A10" s="61" t="s">
        <v>1161</v>
      </c>
      <c r="B10" s="295">
        <v>4.2299999999999997E-2</v>
      </c>
      <c r="C10" s="58" t="s">
        <v>1162</v>
      </c>
    </row>
    <row r="11" spans="1:12" ht="15" customHeight="1" x14ac:dyDescent="0.15">
      <c r="A11" s="61" t="s">
        <v>1163</v>
      </c>
      <c r="B11" s="295">
        <v>0</v>
      </c>
      <c r="C11" s="58" t="s">
        <v>1164</v>
      </c>
    </row>
    <row r="12" spans="1:12" ht="15" customHeight="1" x14ac:dyDescent="0.15">
      <c r="A12" s="61" t="s">
        <v>1165</v>
      </c>
      <c r="B12" s="295">
        <v>0</v>
      </c>
      <c r="C12" s="58" t="s">
        <v>1166</v>
      </c>
    </row>
    <row r="13" spans="1:12" ht="15" customHeight="1" x14ac:dyDescent="0.15">
      <c r="A13" s="61" t="s">
        <v>1167</v>
      </c>
      <c r="B13" s="296">
        <f>B8+IF(B27=1,0.67*B9+0.33,B9)*B10+B11+B12</f>
        <v>0.12952016999999999</v>
      </c>
      <c r="C13" s="58" t="str">
        <f>"calculated; β_used = "&amp;TEXT(IF(B27=1,0.67*B9+0.33,B9),"0.000")&amp;IF(B27=1," (Blume-adjusted)"," (raw)")</f>
        <v>calculated; β_used = 1.828 (raw)</v>
      </c>
    </row>
    <row r="14" spans="1:12" ht="15" customHeight="1" x14ac:dyDescent="0.15">
      <c r="A14" s="61" t="s">
        <v>1168</v>
      </c>
      <c r="B14" s="76">
        <f>Assumptions!M38*4</f>
        <v>4.8000000000000001E-2</v>
      </c>
      <c r="C14" s="58" t="s">
        <v>1169</v>
      </c>
    </row>
    <row r="15" spans="1:12" ht="15" customHeight="1" x14ac:dyDescent="0.15">
      <c r="A15" s="61" t="s">
        <v>1170</v>
      </c>
      <c r="B15" s="76">
        <f>Assumptions!M40</f>
        <v>0.18</v>
      </c>
      <c r="C15" s="58" t="s">
        <v>1171</v>
      </c>
    </row>
    <row r="16" spans="1:12" ht="15" customHeight="1" x14ac:dyDescent="0.15">
      <c r="A16" s="61" t="s">
        <v>1172</v>
      </c>
      <c r="B16" s="297">
        <f>B14*(1-B15)</f>
        <v>3.9360000000000006E-2</v>
      </c>
      <c r="C16" s="58" t="s">
        <v>1173</v>
      </c>
    </row>
    <row r="17" spans="1:13" ht="15" customHeight="1" x14ac:dyDescent="0.15">
      <c r="A17" s="61" t="s">
        <v>1174</v>
      </c>
      <c r="B17" s="298">
        <f>BS!K23+BS!K25</f>
        <v>33366</v>
      </c>
      <c r="C17" s="58" t="s">
        <v>1175</v>
      </c>
    </row>
    <row r="18" spans="1:13" ht="15" customHeight="1" x14ac:dyDescent="0.15">
      <c r="A18" s="61" t="s">
        <v>1176</v>
      </c>
      <c r="B18" s="298">
        <f>Raw_Data!I171*B70</f>
        <v>5581924.9222241081</v>
      </c>
      <c r="C18" s="58" t="s">
        <v>1177</v>
      </c>
    </row>
    <row r="19" spans="1:13" ht="15" customHeight="1" x14ac:dyDescent="0.15">
      <c r="A19" s="61" t="s">
        <v>1178</v>
      </c>
      <c r="B19" s="297">
        <f>B18/(B17+B18)</f>
        <v>0.99405801044644992</v>
      </c>
      <c r="C19" s="58" t="s">
        <v>1179</v>
      </c>
    </row>
    <row r="20" spans="1:13" ht="15" customHeight="1" x14ac:dyDescent="0.15">
      <c r="A20" s="61" t="s">
        <v>1180</v>
      </c>
      <c r="B20" s="297">
        <f>B17/(B17+B18)</f>
        <v>5.9419895535500365E-3</v>
      </c>
      <c r="C20" s="58" t="s">
        <v>1179</v>
      </c>
    </row>
    <row r="21" spans="1:13" ht="15" customHeight="1" x14ac:dyDescent="0.15">
      <c r="A21" s="61" t="s">
        <v>1181</v>
      </c>
      <c r="B21" s="296">
        <f>B13*B19+B16*B20</f>
        <v>0.12898443921171371</v>
      </c>
      <c r="C21" s="58" t="s">
        <v>1182</v>
      </c>
    </row>
    <row r="22" spans="1:13" ht="15" customHeight="1" x14ac:dyDescent="0.15">
      <c r="A22" s="61" t="s">
        <v>1183</v>
      </c>
      <c r="B22" s="299">
        <f>B21</f>
        <v>0.12898443921171371</v>
      </c>
      <c r="C22" s="58" t="s">
        <v>1184</v>
      </c>
    </row>
    <row r="23" spans="1:13" ht="15" customHeight="1" x14ac:dyDescent="0.15">
      <c r="A23" s="61" t="s">
        <v>1185</v>
      </c>
      <c r="B23" s="297">
        <f>B22-B21</f>
        <v>0</v>
      </c>
      <c r="C23" s="58" t="s">
        <v>1186</v>
      </c>
    </row>
    <row r="24" spans="1:13" ht="15" customHeight="1" x14ac:dyDescent="0.15">
      <c r="A24" s="61" t="s">
        <v>1187</v>
      </c>
      <c r="B24" s="295">
        <v>0.03</v>
      </c>
      <c r="C24" s="58" t="s">
        <v>1188</v>
      </c>
    </row>
    <row r="25" spans="1:13" ht="15" customHeight="1" x14ac:dyDescent="0.15">
      <c r="A25" s="61" t="s">
        <v>1189</v>
      </c>
      <c r="B25" s="300">
        <v>14</v>
      </c>
      <c r="C25" s="58" t="s">
        <v>1190</v>
      </c>
    </row>
    <row r="26" spans="1:13" ht="15" customHeight="1" x14ac:dyDescent="0.15">
      <c r="A26" s="61" t="s">
        <v>1191</v>
      </c>
      <c r="B26" s="295">
        <v>0.22</v>
      </c>
      <c r="C26" s="58" t="s">
        <v>1192</v>
      </c>
    </row>
    <row r="27" spans="1:13" ht="13.5" customHeight="1" x14ac:dyDescent="0.15">
      <c r="A27" s="61" t="s">
        <v>1193</v>
      </c>
      <c r="B27" s="301">
        <v>0</v>
      </c>
      <c r="C27" s="58" t="s">
        <v>1194</v>
      </c>
    </row>
    <row r="28" spans="1:13" ht="15" customHeight="1" x14ac:dyDescent="0.15">
      <c r="A28" s="53" t="s">
        <v>1195</v>
      </c>
      <c r="B28" s="53"/>
      <c r="C28" s="53"/>
      <c r="D28" s="53"/>
      <c r="E28" s="53"/>
      <c r="F28" s="53"/>
      <c r="G28" s="53"/>
      <c r="H28" s="53"/>
      <c r="I28" s="53"/>
      <c r="J28" s="53"/>
      <c r="K28" s="53"/>
      <c r="L28" s="53"/>
    </row>
    <row r="29" spans="1:13" ht="15" customHeight="1" x14ac:dyDescent="0.15">
      <c r="A29" s="291" t="s">
        <v>1196</v>
      </c>
      <c r="C29" s="302" t="s">
        <v>1197</v>
      </c>
      <c r="D29" s="302" t="s">
        <v>1198</v>
      </c>
      <c r="E29" s="302" t="s">
        <v>1199</v>
      </c>
      <c r="F29" s="302" t="s">
        <v>1200</v>
      </c>
      <c r="G29" s="302" t="s">
        <v>1201</v>
      </c>
      <c r="H29" s="302" t="s">
        <v>1202</v>
      </c>
      <c r="I29" s="302" t="s">
        <v>1203</v>
      </c>
      <c r="J29" s="302" t="s">
        <v>1204</v>
      </c>
      <c r="K29" s="302" t="s">
        <v>1205</v>
      </c>
      <c r="L29" s="302" t="s">
        <v>1206</v>
      </c>
    </row>
    <row r="30" spans="1:13" ht="15" customHeight="1" x14ac:dyDescent="0.15">
      <c r="A30" s="61" t="s">
        <v>1207</v>
      </c>
      <c r="C30" s="303" t="s">
        <v>1208</v>
      </c>
      <c r="D30" s="303" t="s">
        <v>237</v>
      </c>
      <c r="E30" s="303" t="s">
        <v>238</v>
      </c>
      <c r="F30" s="303" t="s">
        <v>1209</v>
      </c>
      <c r="G30" s="303" t="s">
        <v>1210</v>
      </c>
      <c r="H30" s="303" t="s">
        <v>1211</v>
      </c>
      <c r="I30" s="303" t="s">
        <v>1212</v>
      </c>
      <c r="J30" s="303" t="s">
        <v>1213</v>
      </c>
      <c r="K30" s="303" t="s">
        <v>1214</v>
      </c>
      <c r="L30" s="303" t="s">
        <v>1215</v>
      </c>
    </row>
    <row r="31" spans="1:13" ht="15" customHeight="1" x14ac:dyDescent="0.15">
      <c r="A31" s="61" t="s">
        <v>215</v>
      </c>
      <c r="C31" s="304">
        <f>DATE(2027,1,31)</f>
        <v>46418</v>
      </c>
      <c r="D31" s="304">
        <f>DATE(2028,1,30)</f>
        <v>46782</v>
      </c>
      <c r="E31" s="304">
        <f>DATE(2029,1,28)</f>
        <v>47146</v>
      </c>
      <c r="F31" s="304">
        <f t="shared" ref="F31:L31" si="0">EDATE(E31,12)</f>
        <v>47511</v>
      </c>
      <c r="G31" s="304">
        <f t="shared" si="0"/>
        <v>47876</v>
      </c>
      <c r="H31" s="304">
        <f t="shared" si="0"/>
        <v>48241</v>
      </c>
      <c r="I31" s="304">
        <f t="shared" si="0"/>
        <v>48607</v>
      </c>
      <c r="J31" s="304">
        <f t="shared" si="0"/>
        <v>48972</v>
      </c>
      <c r="K31" s="304">
        <f t="shared" si="0"/>
        <v>49337</v>
      </c>
      <c r="L31" s="304">
        <f t="shared" si="0"/>
        <v>49702</v>
      </c>
      <c r="M31" s="58" t="s">
        <v>1216</v>
      </c>
    </row>
    <row r="32" spans="1:13" ht="15" customHeight="1" x14ac:dyDescent="0.15">
      <c r="A32" s="61" t="s">
        <v>257</v>
      </c>
      <c r="C32" s="303" t="s">
        <v>1217</v>
      </c>
      <c r="D32" s="303" t="s">
        <v>1218</v>
      </c>
      <c r="E32" s="303" t="s">
        <v>1218</v>
      </c>
      <c r="F32" s="303" t="s">
        <v>1219</v>
      </c>
      <c r="G32" s="303" t="s">
        <v>1219</v>
      </c>
      <c r="H32" s="303" t="s">
        <v>1219</v>
      </c>
      <c r="I32" s="303" t="s">
        <v>1219</v>
      </c>
      <c r="J32" s="303" t="s">
        <v>1219</v>
      </c>
      <c r="K32" s="303" t="s">
        <v>1219</v>
      </c>
      <c r="L32" s="303" t="s">
        <v>1219</v>
      </c>
    </row>
    <row r="33" spans="1:13" ht="15" customHeight="1" x14ac:dyDescent="0.15">
      <c r="A33" s="61" t="s">
        <v>1220</v>
      </c>
      <c r="C33" s="305">
        <f>B131/2/365.25</f>
        <v>0.15742642026009582</v>
      </c>
      <c r="D33" s="305">
        <f t="shared" ref="D33:L33" si="1">(D31-$B$7)/365.25-0.5</f>
        <v>0.81143052703627649</v>
      </c>
      <c r="E33" s="305">
        <f t="shared" si="1"/>
        <v>1.8080082135523612</v>
      </c>
      <c r="F33" s="305">
        <f t="shared" si="1"/>
        <v>2.8073237508555784</v>
      </c>
      <c r="G33" s="305">
        <f t="shared" si="1"/>
        <v>3.8066392881587952</v>
      </c>
      <c r="H33" s="305">
        <f t="shared" si="1"/>
        <v>4.8059548254620124</v>
      </c>
      <c r="I33" s="305">
        <f t="shared" si="1"/>
        <v>5.8080082135523616</v>
      </c>
      <c r="J33" s="305">
        <f t="shared" si="1"/>
        <v>6.8073237508555779</v>
      </c>
      <c r="K33" s="305">
        <f t="shared" si="1"/>
        <v>7.8066392881587952</v>
      </c>
      <c r="L33" s="305">
        <f t="shared" si="1"/>
        <v>8.8059548254620115</v>
      </c>
      <c r="M33" s="58" t="s">
        <v>1221</v>
      </c>
    </row>
    <row r="34" spans="1:13" ht="15" customHeight="1" x14ac:dyDescent="0.15">
      <c r="A34" s="61" t="s">
        <v>1222</v>
      </c>
      <c r="C34" s="298">
        <f>CF!L16*$B$130+CF!M16</f>
        <v>68389.573964153169</v>
      </c>
      <c r="D34" s="298">
        <f>CF!Z16</f>
        <v>347608.98662316654</v>
      </c>
      <c r="E34" s="298">
        <f>CF!AA16</f>
        <v>514095.7275720812</v>
      </c>
      <c r="F34" s="298">
        <f t="shared" ref="F34:L34" si="2">E34*(1+F39)</f>
        <v>627196.78763793909</v>
      </c>
      <c r="G34" s="298">
        <f t="shared" si="2"/>
        <v>745318.84930975095</v>
      </c>
      <c r="H34" s="298">
        <f t="shared" si="2"/>
        <v>862085.46903494536</v>
      </c>
      <c r="I34" s="298">
        <f t="shared" si="2"/>
        <v>969846.15266431356</v>
      </c>
      <c r="J34" s="298">
        <f t="shared" si="2"/>
        <v>1060365.1269129827</v>
      </c>
      <c r="K34" s="298">
        <f t="shared" si="2"/>
        <v>1125754.3097392833</v>
      </c>
      <c r="L34" s="298">
        <f t="shared" si="2"/>
        <v>1159526.9390314617</v>
      </c>
      <c r="M34" s="58" t="s">
        <v>1223</v>
      </c>
    </row>
    <row r="35" spans="1:13" ht="15" customHeight="1" x14ac:dyDescent="0.15">
      <c r="A35" s="61" t="s">
        <v>1224</v>
      </c>
      <c r="C35" s="298">
        <f>-(IS!L17*$B$130+IS!M17)*(1-$B$15)</f>
        <v>389.65621450549452</v>
      </c>
      <c r="D35" s="298">
        <f>-IS!Z17*(1-$B$15)</f>
        <v>1313.28576</v>
      </c>
      <c r="E35" s="298">
        <f>-IS!AA17*(1-$B$15)</f>
        <v>1313.28576</v>
      </c>
      <c r="F35" s="298">
        <f t="shared" ref="F35:L35" si="3">E35*(1+F39)</f>
        <v>1602.2086271999999</v>
      </c>
      <c r="G35" s="298">
        <f t="shared" si="3"/>
        <v>1903.9579186559997</v>
      </c>
      <c r="H35" s="298">
        <f t="shared" si="3"/>
        <v>2202.2446592454398</v>
      </c>
      <c r="I35" s="298">
        <f t="shared" si="3"/>
        <v>2477.5252416511198</v>
      </c>
      <c r="J35" s="298">
        <f t="shared" si="3"/>
        <v>2708.7609308718907</v>
      </c>
      <c r="K35" s="298">
        <f t="shared" si="3"/>
        <v>2875.8011882756573</v>
      </c>
      <c r="L35" s="298">
        <f t="shared" si="3"/>
        <v>2962.0752239239273</v>
      </c>
    </row>
    <row r="36" spans="1:13" ht="15" customHeight="1" x14ac:dyDescent="0.15">
      <c r="A36" s="61" t="s">
        <v>1225</v>
      </c>
      <c r="C36" s="298">
        <f>-(IS!L16*$B$130+IS!M16)*(1-$B$15)</f>
        <v>-693.40615248854067</v>
      </c>
      <c r="D36" s="298">
        <f>-IS!Z16*(1-$B$15)</f>
        <v>-4356.0450749417632</v>
      </c>
      <c r="E36" s="298">
        <f>-IS!AA16*(1-$B$15)</f>
        <v>-9937.3778000079092</v>
      </c>
      <c r="F36" s="298">
        <f t="shared" ref="F36:L36" si="4">E36*(1+F39)</f>
        <v>-12123.600916009649</v>
      </c>
      <c r="G36" s="298">
        <f t="shared" si="4"/>
        <v>-14406.879088524798</v>
      </c>
      <c r="H36" s="298">
        <f t="shared" si="4"/>
        <v>-16663.956812393684</v>
      </c>
      <c r="I36" s="298">
        <f t="shared" si="4"/>
        <v>-18746.951413942894</v>
      </c>
      <c r="J36" s="298">
        <f t="shared" si="4"/>
        <v>-20496.666879244229</v>
      </c>
      <c r="K36" s="298">
        <f t="shared" si="4"/>
        <v>-21760.628003464291</v>
      </c>
      <c r="L36" s="298">
        <f t="shared" si="4"/>
        <v>-22413.446843568221</v>
      </c>
    </row>
    <row r="37" spans="1:13" ht="15" customHeight="1" x14ac:dyDescent="0.15">
      <c r="A37" s="61" t="s">
        <v>1226</v>
      </c>
      <c r="C37" s="298">
        <f>CF!L17*$B$130+CF!M17</f>
        <v>-4250.5134936198065</v>
      </c>
      <c r="D37" s="298">
        <f>CF!Z17</f>
        <v>-20941.280590202488</v>
      </c>
      <c r="E37" s="298">
        <f>CF!AA17</f>
        <v>-27874.841796140088</v>
      </c>
      <c r="F37" s="298">
        <f t="shared" ref="F37:L37" si="5">E37*(1+F39)</f>
        <v>-34007.306991290905</v>
      </c>
      <c r="G37" s="298">
        <f t="shared" si="5"/>
        <v>-40412.016474650693</v>
      </c>
      <c r="H37" s="298">
        <f t="shared" si="5"/>
        <v>-46743.232389012635</v>
      </c>
      <c r="I37" s="298">
        <f t="shared" si="5"/>
        <v>-52586.136437639216</v>
      </c>
      <c r="J37" s="298">
        <f t="shared" si="5"/>
        <v>-57494.175838485542</v>
      </c>
      <c r="K37" s="298">
        <f t="shared" si="5"/>
        <v>-61039.650015192157</v>
      </c>
      <c r="L37" s="298">
        <f t="shared" si="5"/>
        <v>-62870.839515647924</v>
      </c>
    </row>
    <row r="38" spans="1:13" ht="15" customHeight="1" x14ac:dyDescent="0.15">
      <c r="A38" s="291" t="s">
        <v>1227</v>
      </c>
      <c r="C38" s="306">
        <f t="shared" ref="C38:L38" si="6">SUM(C34:C37)</f>
        <v>63835.310532550306</v>
      </c>
      <c r="D38" s="306">
        <f t="shared" si="6"/>
        <v>323624.94671802229</v>
      </c>
      <c r="E38" s="306">
        <f t="shared" si="6"/>
        <v>477596.7937359332</v>
      </c>
      <c r="F38" s="306">
        <f t="shared" si="6"/>
        <v>582668.08835783857</v>
      </c>
      <c r="G38" s="306">
        <f t="shared" si="6"/>
        <v>692403.91166523134</v>
      </c>
      <c r="H38" s="306">
        <f t="shared" si="6"/>
        <v>800880.52449278452</v>
      </c>
      <c r="I38" s="306">
        <f t="shared" si="6"/>
        <v>900990.59005438257</v>
      </c>
      <c r="J38" s="306">
        <f t="shared" si="6"/>
        <v>985083.04512612463</v>
      </c>
      <c r="K38" s="306">
        <f t="shared" si="6"/>
        <v>1045829.8329089026</v>
      </c>
      <c r="L38" s="306">
        <f t="shared" si="6"/>
        <v>1077204.7278961695</v>
      </c>
      <c r="M38" s="58" t="s">
        <v>1228</v>
      </c>
    </row>
    <row r="39" spans="1:13" ht="15" customHeight="1" x14ac:dyDescent="0.15">
      <c r="A39" s="61" t="s">
        <v>1229</v>
      </c>
      <c r="F39" s="297">
        <f t="shared" ref="F39:L39" si="7">$B$26+($B$24-$B$26)*(COLUMN()-COLUMN($F$1))/(COLUMN($L$1)-COLUMN($F$1))</f>
        <v>0.22</v>
      </c>
      <c r="G39" s="297">
        <f t="shared" si="7"/>
        <v>0.18833333333333332</v>
      </c>
      <c r="H39" s="297">
        <f t="shared" si="7"/>
        <v>0.15666666666666668</v>
      </c>
      <c r="I39" s="297">
        <f t="shared" si="7"/>
        <v>0.12499999999999999</v>
      </c>
      <c r="J39" s="297">
        <f t="shared" si="7"/>
        <v>9.3333333333333324E-2</v>
      </c>
      <c r="K39" s="297">
        <f t="shared" si="7"/>
        <v>6.1666666666666675E-2</v>
      </c>
      <c r="L39" s="297">
        <f t="shared" si="7"/>
        <v>2.9999999999999971E-2</v>
      </c>
      <c r="M39" s="58" t="s">
        <v>1230</v>
      </c>
    </row>
    <row r="40" spans="1:13" ht="15" customHeight="1" x14ac:dyDescent="0.15">
      <c r="A40" s="291" t="s">
        <v>1231</v>
      </c>
      <c r="C40" s="306">
        <f t="shared" ref="C40:L40" si="8">C38</f>
        <v>63835.310532550306</v>
      </c>
      <c r="D40" s="306">
        <f t="shared" si="8"/>
        <v>323624.94671802229</v>
      </c>
      <c r="E40" s="306">
        <f t="shared" si="8"/>
        <v>477596.7937359332</v>
      </c>
      <c r="F40" s="306">
        <f t="shared" si="8"/>
        <v>582668.08835783857</v>
      </c>
      <c r="G40" s="306">
        <f t="shared" si="8"/>
        <v>692403.91166523134</v>
      </c>
      <c r="H40" s="306">
        <f t="shared" si="8"/>
        <v>800880.52449278452</v>
      </c>
      <c r="I40" s="306">
        <f t="shared" si="8"/>
        <v>900990.59005438257</v>
      </c>
      <c r="J40" s="306">
        <f t="shared" si="8"/>
        <v>985083.04512612463</v>
      </c>
      <c r="K40" s="306">
        <f t="shared" si="8"/>
        <v>1045829.8329089026</v>
      </c>
      <c r="L40" s="306">
        <f t="shared" si="8"/>
        <v>1077204.7278961695</v>
      </c>
    </row>
    <row r="41" spans="1:13" ht="15" customHeight="1" x14ac:dyDescent="0.15">
      <c r="A41" s="61" t="s">
        <v>1232</v>
      </c>
      <c r="C41" s="307">
        <f t="shared" ref="C41:L41" si="9">1/(1+$B$22)^C33</f>
        <v>0.98108248780551655</v>
      </c>
      <c r="D41" s="307">
        <f t="shared" si="9"/>
        <v>0.90624867377667306</v>
      </c>
      <c r="E41" s="307">
        <f t="shared" si="9"/>
        <v>0.80304474158153505</v>
      </c>
      <c r="F41" s="307">
        <f t="shared" si="9"/>
        <v>0.71135739313784407</v>
      </c>
      <c r="G41" s="307">
        <f t="shared" si="9"/>
        <v>0.63013841517134295</v>
      </c>
      <c r="H41" s="307">
        <f t="shared" si="9"/>
        <v>0.55819258519705617</v>
      </c>
      <c r="I41" s="307">
        <f t="shared" si="9"/>
        <v>0.49429693586895118</v>
      </c>
      <c r="J41" s="307">
        <f t="shared" si="9"/>
        <v>0.4378607585964252</v>
      </c>
      <c r="K41" s="307">
        <f t="shared" si="9"/>
        <v>0.38786816184000505</v>
      </c>
      <c r="L41" s="307">
        <f t="shared" si="9"/>
        <v>0.34358345208049557</v>
      </c>
    </row>
    <row r="42" spans="1:13" ht="15" customHeight="1" x14ac:dyDescent="0.15">
      <c r="A42" s="61" t="s">
        <v>1233</v>
      </c>
      <c r="C42" s="298">
        <f t="shared" ref="C42:L42" si="10">C40*C41</f>
        <v>62627.705267112149</v>
      </c>
      <c r="D42" s="298">
        <f t="shared" si="10"/>
        <v>293284.6787642542</v>
      </c>
      <c r="E42" s="298">
        <f t="shared" si="10"/>
        <v>383531.59380584216</v>
      </c>
      <c r="F42" s="298">
        <f t="shared" si="10"/>
        <v>414485.25239884306</v>
      </c>
      <c r="G42" s="298">
        <f t="shared" si="10"/>
        <v>436310.3035551674</v>
      </c>
      <c r="H42" s="298">
        <f t="shared" si="10"/>
        <v>447045.57040060166</v>
      </c>
      <c r="I42" s="298">
        <f t="shared" si="10"/>
        <v>445356.88791063963</v>
      </c>
      <c r="J42" s="298">
        <f t="shared" si="10"/>
        <v>431329.20941940148</v>
      </c>
      <c r="K42" s="298">
        <f t="shared" si="10"/>
        <v>405644.09488781565</v>
      </c>
      <c r="L42" s="298">
        <f t="shared" si="10"/>
        <v>370109.71900799684</v>
      </c>
    </row>
    <row r="43" spans="1:13" ht="15" customHeight="1" x14ac:dyDescent="0.15">
      <c r="A43" s="61" t="s">
        <v>1234</v>
      </c>
      <c r="C43" s="298">
        <f>IS!L13*$B$130+IS!M13+CF!L8*$B$130+CF!M8</f>
        <v>90369.86813884502</v>
      </c>
      <c r="D43" s="298">
        <f>IS!Z13+CF!Z8</f>
        <v>459531.34712465957</v>
      </c>
      <c r="E43" s="298">
        <f>IS!AA13+CF!AA8</f>
        <v>621965.51884449017</v>
      </c>
      <c r="F43" s="298">
        <f t="shared" ref="F43:L43" si="11">E43*(1+F39)</f>
        <v>758797.932990278</v>
      </c>
      <c r="G43" s="298">
        <f t="shared" si="11"/>
        <v>901704.87703678024</v>
      </c>
      <c r="H43" s="298">
        <f t="shared" si="11"/>
        <v>1042971.9744392092</v>
      </c>
      <c r="I43" s="298">
        <f t="shared" si="11"/>
        <v>1173343.4712441103</v>
      </c>
      <c r="J43" s="298">
        <f t="shared" si="11"/>
        <v>1282855.5285602272</v>
      </c>
      <c r="K43" s="298">
        <f t="shared" si="11"/>
        <v>1361964.9528214415</v>
      </c>
      <c r="L43" s="298">
        <f t="shared" si="11"/>
        <v>1402823.9014060847</v>
      </c>
      <c r="M43" s="58" t="s">
        <v>1235</v>
      </c>
    </row>
    <row r="44" spans="1:13" ht="15" customHeight="1" x14ac:dyDescent="0.15">
      <c r="A44" s="58" t="s">
        <v>1236</v>
      </c>
      <c r="D44" s="281" t="s">
        <v>247</v>
      </c>
      <c r="E44" s="281">
        <f t="shared" ref="E44:L44" si="12">E40/D40-1</f>
        <v>0.47577249090153773</v>
      </c>
      <c r="F44" s="281">
        <f t="shared" si="12"/>
        <v>0.2200000000000002</v>
      </c>
      <c r="G44" s="281">
        <f t="shared" si="12"/>
        <v>0.18833333333333302</v>
      </c>
      <c r="H44" s="281">
        <f t="shared" si="12"/>
        <v>0.15666666666666695</v>
      </c>
      <c r="I44" s="281">
        <f t="shared" si="12"/>
        <v>0.125</v>
      </c>
      <c r="J44" s="281">
        <f t="shared" si="12"/>
        <v>9.3333333333333046E-2</v>
      </c>
      <c r="K44" s="281">
        <f t="shared" si="12"/>
        <v>6.166666666666698E-2</v>
      </c>
      <c r="L44" s="281">
        <f t="shared" si="12"/>
        <v>2.9999999999999805E-2</v>
      </c>
    </row>
    <row r="46" spans="1:13" ht="15" customHeight="1" x14ac:dyDescent="0.15">
      <c r="A46" s="53" t="s">
        <v>1237</v>
      </c>
      <c r="B46" s="53"/>
      <c r="C46" s="53"/>
      <c r="D46" s="53"/>
      <c r="E46" s="53"/>
      <c r="F46" s="53"/>
      <c r="G46" s="53"/>
      <c r="H46" s="53"/>
      <c r="I46" s="53"/>
      <c r="J46" s="53"/>
      <c r="K46" s="53"/>
      <c r="L46" s="53"/>
    </row>
    <row r="47" spans="1:13" ht="15" customHeight="1" x14ac:dyDescent="0.15">
      <c r="A47" s="61" t="s">
        <v>1238</v>
      </c>
      <c r="B47" s="306">
        <f>SUM(C42:L42)</f>
        <v>3689725.0154176736</v>
      </c>
      <c r="C47" s="58" t="s">
        <v>1239</v>
      </c>
    </row>
    <row r="48" spans="1:13" ht="15" customHeight="1" x14ac:dyDescent="0.15">
      <c r="A48" s="61" t="s">
        <v>1240</v>
      </c>
      <c r="B48" s="298">
        <f>L40</f>
        <v>1077204.7278961695</v>
      </c>
    </row>
    <row r="49" spans="1:12" ht="15" customHeight="1" x14ac:dyDescent="0.15">
      <c r="A49" s="61" t="s">
        <v>1241</v>
      </c>
      <c r="B49" s="306">
        <f>L40*(1+B24)/(B22-B24)</f>
        <v>11209043.346297558</v>
      </c>
      <c r="C49" s="58" t="s">
        <v>1242</v>
      </c>
    </row>
    <row r="50" spans="1:12" ht="15" customHeight="1" x14ac:dyDescent="0.15">
      <c r="A50" s="61" t="s">
        <v>1243</v>
      </c>
      <c r="B50" s="305">
        <f>L33+0.5</f>
        <v>9.3059548254620115</v>
      </c>
      <c r="C50" s="58" t="s">
        <v>1244</v>
      </c>
    </row>
    <row r="51" spans="1:12" ht="15" customHeight="1" x14ac:dyDescent="0.15">
      <c r="A51" s="61" t="s">
        <v>1245</v>
      </c>
      <c r="B51" s="298">
        <f>B49/(1+B22)^B50</f>
        <v>3624572.6530614169</v>
      </c>
    </row>
    <row r="52" spans="1:12" ht="15" customHeight="1" x14ac:dyDescent="0.15">
      <c r="A52" s="61" t="s">
        <v>1246</v>
      </c>
      <c r="B52" s="306">
        <f>B47+B51</f>
        <v>7314297.6684790906</v>
      </c>
    </row>
    <row r="53" spans="1:12" ht="15" customHeight="1" x14ac:dyDescent="0.15">
      <c r="A53" s="61" t="s">
        <v>1247</v>
      </c>
      <c r="B53" s="297">
        <f>B51/B52</f>
        <v>0.49554623250862279</v>
      </c>
      <c r="C53" s="58" t="s">
        <v>1248</v>
      </c>
    </row>
    <row r="54" spans="1:12" ht="15" customHeight="1" x14ac:dyDescent="0.15">
      <c r="A54" s="61" t="s">
        <v>1249</v>
      </c>
      <c r="B54" s="298">
        <f>L43</f>
        <v>1402823.9014060847</v>
      </c>
    </row>
    <row r="55" spans="1:12" ht="15" customHeight="1" x14ac:dyDescent="0.15">
      <c r="A55" s="61" t="s">
        <v>1250</v>
      </c>
      <c r="B55" s="298">
        <f>L43*B25</f>
        <v>19639534.619685184</v>
      </c>
    </row>
    <row r="56" spans="1:12" ht="15" customHeight="1" x14ac:dyDescent="0.15">
      <c r="A56" s="61" t="s">
        <v>1251</v>
      </c>
      <c r="B56" s="298">
        <f>B55/(1+B22)^B50</f>
        <v>6350668.6433572276</v>
      </c>
    </row>
    <row r="57" spans="1:12" ht="15" customHeight="1" x14ac:dyDescent="0.15">
      <c r="A57" s="61" t="s">
        <v>1252</v>
      </c>
      <c r="B57" s="308">
        <f>B49/L43</f>
        <v>7.990342433617263</v>
      </c>
      <c r="C57" s="58" t="s">
        <v>1253</v>
      </c>
    </row>
    <row r="58" spans="1:12" ht="15" customHeight="1" x14ac:dyDescent="0.15">
      <c r="A58" s="61" t="s">
        <v>1254</v>
      </c>
      <c r="B58" s="298">
        <f>B47+B56</f>
        <v>10040393.658774901</v>
      </c>
    </row>
    <row r="59" spans="1:12" ht="15" customHeight="1" x14ac:dyDescent="0.15">
      <c r="A59" s="61" t="s">
        <v>1255</v>
      </c>
      <c r="B59" s="297">
        <f>B56/B58</f>
        <v>0.63251191727995626</v>
      </c>
    </row>
    <row r="61" spans="1:12" ht="15" customHeight="1" x14ac:dyDescent="0.15">
      <c r="A61" s="53" t="s">
        <v>1256</v>
      </c>
      <c r="B61" s="53"/>
      <c r="C61" s="53"/>
      <c r="D61" s="53"/>
      <c r="E61" s="53"/>
      <c r="F61" s="53"/>
      <c r="G61" s="53"/>
      <c r="H61" s="53"/>
      <c r="I61" s="53"/>
      <c r="J61" s="53"/>
      <c r="K61" s="53"/>
      <c r="L61" s="53"/>
    </row>
    <row r="62" spans="1:12" ht="15" customHeight="1" x14ac:dyDescent="0.15">
      <c r="A62" s="61" t="s">
        <v>1257</v>
      </c>
      <c r="B62" s="298">
        <f>B52</f>
        <v>7314297.6684790906</v>
      </c>
    </row>
    <row r="63" spans="1:12" ht="15" customHeight="1" x14ac:dyDescent="0.15">
      <c r="A63" s="61" t="s">
        <v>1258</v>
      </c>
      <c r="B63" s="298">
        <f>BS!K7+(CF!L16+CF!L19+CF!L24+CF!L25)*$B$129</f>
        <v>32736.153564848209</v>
      </c>
      <c r="C63" s="58" t="s">
        <v>1259</v>
      </c>
    </row>
    <row r="64" spans="1:12" ht="15" customHeight="1" x14ac:dyDescent="0.15">
      <c r="A64" s="61" t="s">
        <v>1260</v>
      </c>
      <c r="B64" s="298">
        <f>BS!K8+CF!L37*$B$129</f>
        <v>81805.120879120877</v>
      </c>
      <c r="C64" s="58" t="s">
        <v>1261</v>
      </c>
    </row>
    <row r="65" spans="1:13" ht="15" customHeight="1" x14ac:dyDescent="0.15">
      <c r="A65" s="61" t="s">
        <v>1262</v>
      </c>
      <c r="B65" s="245">
        <f>Raw_Data!K369+CF!L38*$B$129</f>
        <v>54545.278388278392</v>
      </c>
      <c r="C65" s="58" t="s">
        <v>1263</v>
      </c>
    </row>
    <row r="66" spans="1:13" ht="15" customHeight="1" x14ac:dyDescent="0.15">
      <c r="A66" s="61" t="s">
        <v>1264</v>
      </c>
      <c r="B66" s="298">
        <f>-(BS!K23+BS!K25)</f>
        <v>-33366</v>
      </c>
      <c r="C66" t="s">
        <v>1265</v>
      </c>
    </row>
    <row r="67" spans="1:13" ht="15" customHeight="1" x14ac:dyDescent="0.15">
      <c r="A67" s="61" t="s">
        <v>1266</v>
      </c>
      <c r="B67" s="245">
        <f>-Raw_Data!K377</f>
        <v>-11900</v>
      </c>
      <c r="C67" s="58" t="s">
        <v>1267</v>
      </c>
    </row>
    <row r="68" spans="1:13" ht="15" customHeight="1" x14ac:dyDescent="0.15">
      <c r="A68" s="61" t="s">
        <v>1268</v>
      </c>
      <c r="B68" s="298">
        <f>B63+B64+B65+B66+B67</f>
        <v>123820.55283224749</v>
      </c>
    </row>
    <row r="69" spans="1:13" ht="15" customHeight="1" x14ac:dyDescent="0.15">
      <c r="A69" s="61" t="s">
        <v>1269</v>
      </c>
      <c r="B69" s="306">
        <f>B62+B68</f>
        <v>7438118.2213113382</v>
      </c>
    </row>
    <row r="70" spans="1:13" ht="15" customHeight="1" x14ac:dyDescent="0.15">
      <c r="A70" s="61" t="s">
        <v>1270</v>
      </c>
      <c r="B70" s="298">
        <f>IS!K31-(Assumptions!M58/Assumptions!M43)*$B$129</f>
        <v>24218.695427907445</v>
      </c>
      <c r="C70" s="58" t="s">
        <v>1271</v>
      </c>
    </row>
    <row r="71" spans="1:13" ht="15" customHeight="1" x14ac:dyDescent="0.15">
      <c r="A71" s="61" t="s">
        <v>1272</v>
      </c>
      <c r="B71" s="309">
        <f>B69/B70</f>
        <v>307.12299279094611</v>
      </c>
    </row>
    <row r="72" spans="1:13" ht="15" customHeight="1" x14ac:dyDescent="0.15">
      <c r="A72" s="61" t="s">
        <v>1273</v>
      </c>
      <c r="B72" s="310">
        <f>(B58+B68)/B70</f>
        <v>419.68462925112073</v>
      </c>
    </row>
    <row r="73" spans="1:13" ht="15" customHeight="1" x14ac:dyDescent="0.15">
      <c r="A73" s="61" t="s">
        <v>1274</v>
      </c>
      <c r="B73" s="287">
        <f>Raw_Data!I171</f>
        <v>230.48</v>
      </c>
      <c r="C73" s="58" t="s">
        <v>1275</v>
      </c>
    </row>
    <row r="74" spans="1:13" ht="15" customHeight="1" x14ac:dyDescent="0.15">
      <c r="A74" s="61" t="s">
        <v>1276</v>
      </c>
      <c r="B74" s="296">
        <f>B71/B73-1</f>
        <v>0.33253641440014814</v>
      </c>
    </row>
    <row r="75" spans="1:13" ht="15" customHeight="1" x14ac:dyDescent="0.15">
      <c r="A75" s="61" t="s">
        <v>1277</v>
      </c>
      <c r="B75" s="287">
        <f>Valuation!B19</f>
        <v>316.46666666666664</v>
      </c>
      <c r="C75" s="58" t="s">
        <v>1278</v>
      </c>
    </row>
    <row r="76" spans="1:13" ht="15" customHeight="1" x14ac:dyDescent="0.15">
      <c r="A76" s="61" t="s">
        <v>1279</v>
      </c>
      <c r="B76" s="297">
        <f>B71/B75-1</f>
        <v>-2.9524985914431867E-2</v>
      </c>
    </row>
    <row r="77" spans="1:13" ht="15" customHeight="1" x14ac:dyDescent="0.15"/>
    <row r="78" spans="1:13" ht="15" customHeight="1" x14ac:dyDescent="0.15">
      <c r="A78" s="53" t="s">
        <v>1280</v>
      </c>
      <c r="B78" s="53"/>
      <c r="C78" s="53"/>
      <c r="D78" s="53"/>
      <c r="E78" s="53"/>
      <c r="F78" s="53"/>
      <c r="G78" s="53"/>
      <c r="H78" s="53"/>
      <c r="I78" s="53"/>
      <c r="J78" s="53"/>
      <c r="K78" s="53"/>
      <c r="L78" s="53"/>
    </row>
    <row r="79" spans="1:13" ht="15" customHeight="1" x14ac:dyDescent="0.15">
      <c r="A79" s="291" t="s">
        <v>1281</v>
      </c>
      <c r="B79" s="291" t="s">
        <v>1282</v>
      </c>
      <c r="C79" s="291" t="s">
        <v>1283</v>
      </c>
      <c r="D79" s="291" t="s">
        <v>1284</v>
      </c>
      <c r="E79" s="291" t="s">
        <v>1285</v>
      </c>
      <c r="F79" s="291" t="s">
        <v>1286</v>
      </c>
      <c r="G79" s="291" t="s">
        <v>1287</v>
      </c>
      <c r="H79" s="291" t="s">
        <v>1288</v>
      </c>
      <c r="I79" s="291" t="str">
        <f>"Upside vs "&amp;TEXT(B73,"0.00")</f>
        <v>Upside vs 230.48</v>
      </c>
      <c r="J79" s="291" t="s">
        <v>1289</v>
      </c>
    </row>
    <row r="80" spans="1:13" ht="15" customHeight="1" x14ac:dyDescent="0.15">
      <c r="A80" s="291" t="s">
        <v>1290</v>
      </c>
      <c r="B80" s="311">
        <f>1+$J80*(1-$B$15)*(IS!$L$7+IS!$M$7+IS!$Z$7+IS!$AA$7)/SUM($C$40:$E$40)</f>
        <v>1</v>
      </c>
      <c r="C80" s="295">
        <f>B26</f>
        <v>0.22</v>
      </c>
      <c r="D80" s="295">
        <f>B24</f>
        <v>0.03</v>
      </c>
      <c r="E80" s="300">
        <f>B25</f>
        <v>14</v>
      </c>
      <c r="F80" s="295">
        <v>0</v>
      </c>
      <c r="G80" s="309">
        <f>(SUMPRODUCT($C$83:$L$83/(1+($B$22+$F80))^$C$33:$L$33)+$L$83*(1+$D80)/($B$22+$F80-$D80)/(1+$B$22+$F80)^$B$50+$B$68)/$B$70</f>
        <v>307.12299279094611</v>
      </c>
      <c r="H80" s="310">
        <f>(SUMPRODUCT($C$83:$L$83/(1+($B$22+$F80))^$C$33:$L$33)+$L$43*$B80*$E80/(1+$B$22+$F80)^$B$50+$B$68)/$B$70</f>
        <v>419.68462925112073</v>
      </c>
      <c r="I80" s="297">
        <f>G80/$B$73-1</f>
        <v>0.33253641440014814</v>
      </c>
      <c r="J80" s="295">
        <v>0</v>
      </c>
      <c r="M80" s="58" t="s">
        <v>1291</v>
      </c>
    </row>
    <row r="81" spans="1:13" ht="15" customHeight="1" x14ac:dyDescent="0.15">
      <c r="A81" s="291" t="s">
        <v>1292</v>
      </c>
      <c r="B81" s="311">
        <f>1+$J81*(1-$B$15)*(IS!$L$7+IS!$M$7+IS!$Z$7+IS!$AA$7)/SUM($C$40:$E$40)</f>
        <v>1.0087337346520588</v>
      </c>
      <c r="C81" s="295">
        <v>0.27</v>
      </c>
      <c r="D81" s="295">
        <v>3.5000000000000003E-2</v>
      </c>
      <c r="E81" s="300">
        <v>16</v>
      </c>
      <c r="F81" s="295">
        <v>0</v>
      </c>
      <c r="G81" s="309">
        <f>(SUMPRODUCT($C$84:$L$84/(1+($B$22+$F81))^$C$33:$L$33)+$L$84*(1+$D81)/($B$22+$F81-$D81)/(1+$B$22+$F81)^$B$50+$B$68)/$B$70</f>
        <v>362.29190450013317</v>
      </c>
      <c r="H81" s="310">
        <f>(SUMPRODUCT($C$84:$L$84/(1+($B$22+$F81))^$C$33:$L$33)+$L$43*$B81*$E81/(1+$B$22+$F81)^$B$50+$B$68)/$B$70</f>
        <v>476.35823495788105</v>
      </c>
      <c r="I81" s="297">
        <f>G81/$B$73-1</f>
        <v>0.57190170296829734</v>
      </c>
      <c r="J81" s="295">
        <v>5.0000000000000001E-3</v>
      </c>
      <c r="M81" s="58" t="s">
        <v>1293</v>
      </c>
    </row>
    <row r="82" spans="1:13" ht="15" customHeight="1" x14ac:dyDescent="0.15">
      <c r="A82" s="291" t="s">
        <v>1294</v>
      </c>
      <c r="B82" s="311">
        <f>1+$J82*(1-$B$15)*(IS!$L$7+IS!$M$7+IS!$Z$7+IS!$AA$7)/SUM($C$40:$E$40)</f>
        <v>0.9475975920876476</v>
      </c>
      <c r="C82" s="295">
        <v>0.1</v>
      </c>
      <c r="D82" s="295">
        <v>2.5000000000000001E-2</v>
      </c>
      <c r="E82" s="300">
        <v>10</v>
      </c>
      <c r="F82" s="295">
        <v>5.0000000000000001E-3</v>
      </c>
      <c r="G82" s="309">
        <f>(SUMPRODUCT($C$85:$L$85/(1+($B$22+$F82))^$C$33:$L$33)+$L$85*(1+$D82)/($B$22+$F82-$D82)/(1+$B$22+$F82)^$B$50+$B$68)/$B$70</f>
        <v>202.05485224764851</v>
      </c>
      <c r="H82" s="310">
        <f>(SUMPRODUCT($C$85:$L$85/(1+($B$22+$F82))^$C$33:$L$33)+$L$43*$B82*$E82/(1+$B$22+$F82)^$B$50+$B$68)/$B$70</f>
        <v>289.17884676873706</v>
      </c>
      <c r="I82" s="297">
        <f>G82/$B$73-1</f>
        <v>-0.12333021412856426</v>
      </c>
      <c r="J82" s="295">
        <v>-0.03</v>
      </c>
      <c r="M82" s="58" t="s">
        <v>1295</v>
      </c>
    </row>
    <row r="83" spans="1:13" ht="15" customHeight="1" x14ac:dyDescent="0.15">
      <c r="A83" s="58" t="s">
        <v>1296</v>
      </c>
      <c r="C83" s="284">
        <f>C$40*$B$80</f>
        <v>63835.310532550306</v>
      </c>
      <c r="D83" s="284">
        <f>D$40*$B$80</f>
        <v>323624.94671802229</v>
      </c>
      <c r="E83" s="284">
        <f>E$40*$B$80</f>
        <v>477596.7937359332</v>
      </c>
      <c r="F83" s="284">
        <f t="shared" ref="F83:L83" si="13">E83*(1+$C$80+($D$80-$C$80)*(COLUMN()-COLUMN($F$1))/(COLUMN($L$1)-COLUMN($F$1)))</f>
        <v>582668.08835783845</v>
      </c>
      <c r="G83" s="284">
        <f t="shared" si="13"/>
        <v>692403.91166523134</v>
      </c>
      <c r="H83" s="284">
        <f t="shared" si="13"/>
        <v>800880.52449278429</v>
      </c>
      <c r="I83" s="284">
        <f t="shared" si="13"/>
        <v>900990.59005438234</v>
      </c>
      <c r="J83" s="284">
        <f t="shared" si="13"/>
        <v>985083.04512612463</v>
      </c>
      <c r="K83" s="284">
        <f t="shared" si="13"/>
        <v>1045829.8329089022</v>
      </c>
      <c r="L83" s="284">
        <f t="shared" si="13"/>
        <v>1077204.7278961693</v>
      </c>
    </row>
    <row r="84" spans="1:13" ht="15" customHeight="1" x14ac:dyDescent="0.15">
      <c r="A84" s="58" t="s">
        <v>1297</v>
      </c>
      <c r="C84" s="284">
        <f>C$40*$B$81</f>
        <v>64392.831196173378</v>
      </c>
      <c r="D84" s="284">
        <f>D$40*$B$81</f>
        <v>326451.40112944419</v>
      </c>
      <c r="E84" s="284">
        <f>E$40*$B$81</f>
        <v>481767.99740309693</v>
      </c>
      <c r="F84" s="284">
        <f t="shared" ref="F84:L84" si="14">E84*(1+$C$81+($D$81-$C$81)*(COLUMN()-COLUMN($F$1))/(COLUMN($L$1)-COLUMN($F$1)))</f>
        <v>611845.35670193308</v>
      </c>
      <c r="G84" s="284">
        <f t="shared" si="14"/>
        <v>753079.65987396275</v>
      </c>
      <c r="H84" s="284">
        <f t="shared" si="14"/>
        <v>897419.92801647226</v>
      </c>
      <c r="I84" s="284">
        <f t="shared" si="14"/>
        <v>1034276.4670389843</v>
      </c>
      <c r="J84" s="284">
        <f t="shared" si="14"/>
        <v>1151494.4666367357</v>
      </c>
      <c r="K84" s="284">
        <f t="shared" si="14"/>
        <v>1236896.9729122936</v>
      </c>
      <c r="L84" s="284">
        <f t="shared" si="14"/>
        <v>1280188.3669642238</v>
      </c>
    </row>
    <row r="85" spans="1:13" ht="15" customHeight="1" x14ac:dyDescent="0.15">
      <c r="A85" s="58" t="s">
        <v>1298</v>
      </c>
      <c r="C85" s="284">
        <f>C$40*$B$82</f>
        <v>60490.186550811923</v>
      </c>
      <c r="D85" s="284">
        <f>D$40*$B$82</f>
        <v>306666.22024949116</v>
      </c>
      <c r="E85" s="284">
        <f>E$40*$B$82</f>
        <v>452569.57173295121</v>
      </c>
      <c r="F85" s="284">
        <f t="shared" ref="F85:L85" si="15">E85*(1+$C$82+($D$82-$C$82)*(COLUMN()-COLUMN($F$1))/(COLUMN($L$1)-COLUMN($F$1)))</f>
        <v>497826.52890624636</v>
      </c>
      <c r="G85" s="284">
        <f t="shared" si="15"/>
        <v>541386.35018554295</v>
      </c>
      <c r="H85" s="284">
        <f t="shared" si="15"/>
        <v>581990.32644945872</v>
      </c>
      <c r="I85" s="284">
        <f t="shared" si="15"/>
        <v>618364.72185254993</v>
      </c>
      <c r="J85" s="284">
        <f t="shared" si="15"/>
        <v>649282.95794517745</v>
      </c>
      <c r="K85" s="284">
        <f t="shared" si="15"/>
        <v>673631.06886812171</v>
      </c>
      <c r="L85" s="284">
        <f t="shared" si="15"/>
        <v>690471.84558982484</v>
      </c>
    </row>
    <row r="86" spans="1:13" ht="15" customHeight="1" x14ac:dyDescent="0.15"/>
    <row r="87" spans="1:13" ht="15" customHeight="1" x14ac:dyDescent="0.15">
      <c r="A87" s="53" t="s">
        <v>1299</v>
      </c>
      <c r="B87" s="53"/>
      <c r="C87" s="53"/>
      <c r="D87" s="53"/>
      <c r="E87" s="53"/>
      <c r="F87" s="53"/>
      <c r="G87" s="53"/>
      <c r="H87" s="53"/>
      <c r="I87" s="53"/>
      <c r="J87" s="53"/>
      <c r="K87" s="53"/>
      <c r="L87" s="53"/>
    </row>
    <row r="88" spans="1:13" ht="15" customHeight="1" x14ac:dyDescent="0.15">
      <c r="A88" s="291" t="s">
        <v>1300</v>
      </c>
    </row>
    <row r="89" spans="1:13" ht="15" customHeight="1" x14ac:dyDescent="0.15">
      <c r="B89" s="58" t="s">
        <v>51</v>
      </c>
      <c r="C89" s="295">
        <v>0.02</v>
      </c>
      <c r="D89" s="295">
        <v>2.5000000000000001E-2</v>
      </c>
      <c r="E89" s="295">
        <v>0.03</v>
      </c>
      <c r="F89" s="295">
        <v>3.5000000000000003E-2</v>
      </c>
      <c r="G89" s="295">
        <v>0.04</v>
      </c>
      <c r="H89" s="58" t="s">
        <v>1301</v>
      </c>
    </row>
    <row r="90" spans="1:13" ht="15" customHeight="1" x14ac:dyDescent="0.15">
      <c r="B90" s="295">
        <v>0.115</v>
      </c>
      <c r="C90" s="310">
        <f t="shared" ref="C90:G95" si="16">($H90+$L$40*(1+C$89)/($B90-C$89)/(1+$B90)^$B$50+$B$68)/$B$70</f>
        <v>340.43328875004966</v>
      </c>
      <c r="D90" s="310">
        <f t="shared" si="16"/>
        <v>350.96474631162937</v>
      </c>
      <c r="E90" s="310">
        <f t="shared" si="16"/>
        <v>362.73519888045388</v>
      </c>
      <c r="F90" s="310">
        <f t="shared" si="16"/>
        <v>375.97695802038146</v>
      </c>
      <c r="G90" s="310">
        <f t="shared" si="16"/>
        <v>390.98428504563265</v>
      </c>
      <c r="H90" s="284">
        <f t="shared" ref="H90:H95" si="17">SUMPRODUCT($C$40:$L$40/(1+$B90)^$C$33:$L$33)</f>
        <v>3921148.079186602</v>
      </c>
    </row>
    <row r="91" spans="1:13" ht="15" customHeight="1" x14ac:dyDescent="0.15">
      <c r="B91" s="295">
        <v>0.12</v>
      </c>
      <c r="C91" s="310">
        <f t="shared" si="16"/>
        <v>321.52873607695489</v>
      </c>
      <c r="D91" s="310">
        <f t="shared" si="16"/>
        <v>330.66126868266866</v>
      </c>
      <c r="E91" s="310">
        <f t="shared" si="16"/>
        <v>340.80852713346195</v>
      </c>
      <c r="F91" s="310">
        <f t="shared" si="16"/>
        <v>352.14958069611316</v>
      </c>
      <c r="G91" s="310">
        <f t="shared" si="16"/>
        <v>364.90826595409578</v>
      </c>
      <c r="H91" s="284">
        <f t="shared" si="17"/>
        <v>3836016.2120416579</v>
      </c>
    </row>
    <row r="92" spans="1:13" ht="15" customHeight="1" x14ac:dyDescent="0.15">
      <c r="B92" s="295">
        <v>0.125</v>
      </c>
      <c r="C92" s="310">
        <f t="shared" si="16"/>
        <v>304.48849438209885</v>
      </c>
      <c r="D92" s="310">
        <f t="shared" si="16"/>
        <v>312.45114517529225</v>
      </c>
      <c r="E92" s="310">
        <f t="shared" si="16"/>
        <v>321.25196973619023</v>
      </c>
      <c r="F92" s="310">
        <f t="shared" si="16"/>
        <v>331.03066369274353</v>
      </c>
      <c r="G92" s="310">
        <f t="shared" si="16"/>
        <v>341.9597922324208</v>
      </c>
      <c r="H92" s="284">
        <f t="shared" si="17"/>
        <v>3753570.6268642312</v>
      </c>
    </row>
    <row r="93" spans="1:13" ht="15" customHeight="1" x14ac:dyDescent="0.15">
      <c r="B93" s="295">
        <v>0.13</v>
      </c>
      <c r="C93" s="310">
        <f t="shared" si="16"/>
        <v>289.05571641276771</v>
      </c>
      <c r="D93" s="310">
        <f t="shared" si="16"/>
        <v>296.03271076812155</v>
      </c>
      <c r="E93" s="310">
        <f t="shared" si="16"/>
        <v>303.70740455901091</v>
      </c>
      <c r="F93" s="310">
        <f t="shared" si="16"/>
        <v>312.18996085420434</v>
      </c>
      <c r="G93" s="310">
        <f t="shared" si="16"/>
        <v>321.61502340441922</v>
      </c>
      <c r="H93" s="284">
        <f t="shared" si="17"/>
        <v>3673708.1925144503</v>
      </c>
    </row>
    <row r="94" spans="1:13" ht="15" customHeight="1" x14ac:dyDescent="0.15">
      <c r="B94" s="295">
        <v>0.13500000000000001</v>
      </c>
      <c r="C94" s="310">
        <f t="shared" si="16"/>
        <v>275.018358315603</v>
      </c>
      <c r="D94" s="310">
        <f t="shared" si="16"/>
        <v>281.15928401344667</v>
      </c>
      <c r="E94" s="310">
        <f t="shared" si="16"/>
        <v>287.88505977775174</v>
      </c>
      <c r="F94" s="310">
        <f t="shared" si="16"/>
        <v>295.28341311848715</v>
      </c>
      <c r="G94" s="310">
        <f t="shared" si="16"/>
        <v>303.4605404950895</v>
      </c>
      <c r="H94" s="284">
        <f t="shared" si="17"/>
        <v>3596330.3327668114</v>
      </c>
    </row>
    <row r="95" spans="1:13" ht="15" customHeight="1" x14ac:dyDescent="0.15">
      <c r="B95" s="295">
        <v>0.14000000000000001</v>
      </c>
      <c r="C95" s="310">
        <f t="shared" si="16"/>
        <v>262.19983777192886</v>
      </c>
      <c r="D95" s="310">
        <f t="shared" si="16"/>
        <v>267.6272061340228</v>
      </c>
      <c r="E95" s="310">
        <f t="shared" si="16"/>
        <v>273.54797161994361</v>
      </c>
      <c r="F95" s="310">
        <f t="shared" si="16"/>
        <v>280.03261953309487</v>
      </c>
      <c r="G95" s="310">
        <f t="shared" si="16"/>
        <v>287.16573223756131</v>
      </c>
      <c r="H95" s="284">
        <f t="shared" si="17"/>
        <v>3521342.8013803773</v>
      </c>
    </row>
    <row r="96" spans="1:13" ht="15" customHeight="1" x14ac:dyDescent="0.15"/>
    <row r="97" spans="1:12" ht="15" customHeight="1" x14ac:dyDescent="0.15">
      <c r="A97" s="291" t="s">
        <v>1302</v>
      </c>
    </row>
    <row r="98" spans="1:12" ht="15" customHeight="1" x14ac:dyDescent="0.15">
      <c r="B98" s="58" t="s">
        <v>1303</v>
      </c>
      <c r="C98" s="300">
        <v>8</v>
      </c>
      <c r="D98" s="300">
        <v>10</v>
      </c>
      <c r="E98" s="300">
        <v>12</v>
      </c>
      <c r="F98" s="300">
        <v>14</v>
      </c>
      <c r="G98" s="300">
        <v>16</v>
      </c>
      <c r="H98" s="300">
        <v>18</v>
      </c>
      <c r="I98" s="58" t="s">
        <v>1301</v>
      </c>
    </row>
    <row r="99" spans="1:12" ht="15" customHeight="1" x14ac:dyDescent="0.15">
      <c r="B99" s="295">
        <v>0.115</v>
      </c>
      <c r="C99" s="310">
        <f t="shared" ref="C99:H104" si="18">($I99+$L$43*C$98/(1+$B99)^$B$50+$B$68)/$B$70</f>
        <v>335.28763133077564</v>
      </c>
      <c r="D99" s="310">
        <f t="shared" si="18"/>
        <v>377.35493016667579</v>
      </c>
      <c r="E99" s="310">
        <f t="shared" si="18"/>
        <v>419.42222900257593</v>
      </c>
      <c r="F99" s="310">
        <f t="shared" si="18"/>
        <v>461.48952783847602</v>
      </c>
      <c r="G99" s="310">
        <f t="shared" si="18"/>
        <v>503.55682667437617</v>
      </c>
      <c r="H99" s="310">
        <f t="shared" si="18"/>
        <v>545.62412551027626</v>
      </c>
      <c r="I99" s="284">
        <f t="shared" ref="I99:I104" si="19">SUMPRODUCT($C$40:$L$40/(1+$B99)^$C$33:$L$33)</f>
        <v>3921148.079186602</v>
      </c>
    </row>
    <row r="100" spans="1:12" ht="15" customHeight="1" x14ac:dyDescent="0.15">
      <c r="B100" s="295">
        <v>0.12</v>
      </c>
      <c r="C100" s="310">
        <f t="shared" si="18"/>
        <v>324.91005943969606</v>
      </c>
      <c r="D100" s="310">
        <f t="shared" si="18"/>
        <v>365.2617478470633</v>
      </c>
      <c r="E100" s="310">
        <f t="shared" si="18"/>
        <v>405.61343625443044</v>
      </c>
      <c r="F100" s="310">
        <f t="shared" si="18"/>
        <v>445.96512466179763</v>
      </c>
      <c r="G100" s="310">
        <f t="shared" si="18"/>
        <v>486.31681306916488</v>
      </c>
      <c r="H100" s="310">
        <f t="shared" si="18"/>
        <v>526.66850147653213</v>
      </c>
      <c r="I100" s="284">
        <f t="shared" si="19"/>
        <v>3836016.2120416579</v>
      </c>
    </row>
    <row r="101" spans="1:12" ht="15" customHeight="1" x14ac:dyDescent="0.15">
      <c r="B101" s="295">
        <v>0.125</v>
      </c>
      <c r="C101" s="310">
        <f t="shared" si="18"/>
        <v>314.9519905194598</v>
      </c>
      <c r="D101" s="310">
        <f t="shared" si="18"/>
        <v>353.66521481627689</v>
      </c>
      <c r="E101" s="310">
        <f t="shared" si="18"/>
        <v>392.37843911309392</v>
      </c>
      <c r="F101" s="310">
        <f t="shared" si="18"/>
        <v>431.09166340991089</v>
      </c>
      <c r="G101" s="310">
        <f t="shared" si="18"/>
        <v>469.80488770672798</v>
      </c>
      <c r="H101" s="310">
        <f t="shared" si="18"/>
        <v>508.51811200354507</v>
      </c>
      <c r="I101" s="284">
        <f t="shared" si="19"/>
        <v>3753570.6268642312</v>
      </c>
    </row>
    <row r="102" spans="1:12" ht="15" customHeight="1" x14ac:dyDescent="0.15">
      <c r="B102" s="295">
        <v>0.13</v>
      </c>
      <c r="C102" s="310">
        <f t="shared" si="18"/>
        <v>305.3940099053915</v>
      </c>
      <c r="D102" s="310">
        <f t="shared" si="18"/>
        <v>342.54212732537945</v>
      </c>
      <c r="E102" s="310">
        <f t="shared" si="18"/>
        <v>379.69024474536741</v>
      </c>
      <c r="F102" s="310">
        <f t="shared" si="18"/>
        <v>416.83836216535542</v>
      </c>
      <c r="G102" s="310">
        <f t="shared" si="18"/>
        <v>453.98647958534337</v>
      </c>
      <c r="H102" s="310">
        <f t="shared" si="18"/>
        <v>491.13459700533144</v>
      </c>
      <c r="I102" s="284">
        <f t="shared" si="19"/>
        <v>3673708.1925144503</v>
      </c>
    </row>
    <row r="103" spans="1:12" ht="15" customHeight="1" x14ac:dyDescent="0.15">
      <c r="B103" s="295">
        <v>0.13500000000000001</v>
      </c>
      <c r="C103" s="310">
        <f t="shared" si="18"/>
        <v>296.21769774635811</v>
      </c>
      <c r="D103" s="310">
        <f t="shared" si="18"/>
        <v>331.87047812378529</v>
      </c>
      <c r="E103" s="310">
        <f t="shared" si="18"/>
        <v>367.52325850121241</v>
      </c>
      <c r="F103" s="310">
        <f t="shared" si="18"/>
        <v>403.17603887863953</v>
      </c>
      <c r="G103" s="310">
        <f t="shared" si="18"/>
        <v>438.82881925606677</v>
      </c>
      <c r="H103" s="310">
        <f t="shared" si="18"/>
        <v>474.48159963349389</v>
      </c>
      <c r="I103" s="284">
        <f t="shared" si="19"/>
        <v>3596330.3327668114</v>
      </c>
    </row>
    <row r="104" spans="1:12" ht="15" customHeight="1" x14ac:dyDescent="0.15">
      <c r="B104" s="295">
        <v>0.14000000000000001</v>
      </c>
      <c r="C104" s="310">
        <f t="shared" si="18"/>
        <v>287.40557348743857</v>
      </c>
      <c r="D104" s="310">
        <f t="shared" si="18"/>
        <v>321.62938938445757</v>
      </c>
      <c r="E104" s="310">
        <f t="shared" si="18"/>
        <v>355.85320528147651</v>
      </c>
      <c r="F104" s="310">
        <f t="shared" si="18"/>
        <v>390.07702117849561</v>
      </c>
      <c r="G104" s="310">
        <f t="shared" si="18"/>
        <v>424.30083707551455</v>
      </c>
      <c r="H104" s="310">
        <f t="shared" si="18"/>
        <v>458.52465297253366</v>
      </c>
      <c r="I104" s="284">
        <f t="shared" si="19"/>
        <v>3521342.8013803773</v>
      </c>
    </row>
    <row r="105" spans="1:12" ht="15" customHeight="1" x14ac:dyDescent="0.15"/>
    <row r="106" spans="1:12" ht="15" customHeight="1" x14ac:dyDescent="0.15">
      <c r="A106" s="53" t="s">
        <v>1304</v>
      </c>
      <c r="B106" s="53"/>
      <c r="C106" s="53"/>
      <c r="D106" s="53"/>
      <c r="E106" s="53"/>
      <c r="F106" s="53"/>
      <c r="G106" s="53"/>
      <c r="H106" s="53"/>
      <c r="I106" s="53"/>
      <c r="J106" s="53"/>
      <c r="K106" s="53"/>
      <c r="L106" s="53"/>
    </row>
    <row r="107" spans="1:12" ht="15" customHeight="1" x14ac:dyDescent="0.15">
      <c r="A107" s="61" t="s">
        <v>1305</v>
      </c>
      <c r="B107" s="61" t="str">
        <f>IF(ABS(B23)&lt;0.0001,"PASS","REVIEW")</f>
        <v>PASS</v>
      </c>
    </row>
    <row r="108" spans="1:12" ht="15" customHeight="1" x14ac:dyDescent="0.15">
      <c r="A108" s="61" t="s">
        <v>1306</v>
      </c>
      <c r="B108" s="61" t="str">
        <f>IF(B53&lt;0.75,"PASS","REVIEW")</f>
        <v>PASS</v>
      </c>
    </row>
    <row r="109" spans="1:12" ht="15" customHeight="1" x14ac:dyDescent="0.15">
      <c r="A109" s="61" t="s">
        <v>1307</v>
      </c>
      <c r="B109" s="61" t="str">
        <f>IF(ABS(C38-(CF!L16*$B$130+CF!M16-(IS!L16*$B$130+IS!M16)*(1-$B$15)-(IS!L17*$B$130+IS!M17)*(1-$B$15)+CF!L17*$B$130+CF!M17))&lt;1,"PASS","FAIL")</f>
        <v>PASS</v>
      </c>
    </row>
    <row r="110" spans="1:12" ht="15" customHeight="1" x14ac:dyDescent="0.15"/>
    <row r="111" spans="1:12" ht="15" customHeight="1" x14ac:dyDescent="0.15">
      <c r="A111" s="58" t="str">
        <f>"Read: base Gordon "&amp;TEXT(B71,"0.00")&amp;"/sh vs street TP mean "&amp;TEXT(B75,"0.00")&amp;" (median "&amp;TEXT(Valuation!B20,"0")&amp;") — "&amp;IF(B71&gt;=B75,"at/above","below")&amp;" the street mean; β switch B27 = "&amp;B27&amp;" (0 = raw β)."</f>
        <v>Read: base Gordon 307.12/sh vs street TP mean 316.47 (median 315) — below the street mean; β switch B27 = 0 (0 = raw β).</v>
      </c>
    </row>
    <row r="112" spans="1:12" ht="15" customHeight="1" x14ac:dyDescent="0.15">
      <c r="A112" s="58" t="str">
        <f>"the mispricing question is the fade, not the explicit window. Gordon implied exit multiple "&amp;TEXT(B57,"0.0")&amp;"x vs the "&amp;TEXT(B25,"0.0")&amp;"x cross-check; TV = "&amp;TEXT(B53,"0%")&amp;" of EV."</f>
        <v>the mispricing question is the fade, not the explicit window. Gordon implied exit multiple 8.0x vs the 14.0x cross-check; TV = 50% of EV.</v>
      </c>
    </row>
    <row r="113" spans="1:13" ht="15" customHeight="1" x14ac:dyDescent="0.15">
      <c r="A113" s="58" t="str">
        <f>"Priced in at "&amp;TEXT(B73,"0.00")&amp;": bear Gordon "&amp;TEXT(G82,"0.00")&amp;" / base "&amp;TEXT(G80,"0.00")&amp;" / bull "&amp;TEXT(G81,"0.00")&amp;IF(B73&lt;=G82*1.02," — price ≈ the bear case."," — price sits "&amp;TEXT((B73-G82)/(G80-G82),"0%")&amp;" of the way from bear to base.")&amp;" Stress (§H): S1 "&amp;TEXT(I120,"0.00")&amp;", S2 "&amp;TEXT(I121,"0.00")&amp;"."</f>
        <v>Priced in at 230.48: bear Gordon 202.05 / base 307.12 / bull 362.29 — price sits 27% of the way from bear to base. Stress (§H): S1 215.76, S2 274.39.</v>
      </c>
    </row>
    <row r="114" spans="1:13" ht="15" customHeight="1" x14ac:dyDescent="0.15">
      <c r="A114" s="58" t="str">
        <f>"What proves the thesis: FY28 revenue on the +70% guide ("&amp;TEXT(IS!Z7/IS!Y7-1,"+0.0%")&amp;" modelled) with GM on the 72.0–72.9 walk (Rubin ramp); what kills it: DC decay faster than the "&amp;TEXT(B26,"0%")&amp;"→"&amp;TEXT(B24,"0%")&amp;" fade,"</f>
        <v>What proves the thesis: FY28 revenue on the +70% guide (+70.0% modelled) with GM on the 72.0–72.9 walk (Rubin ramp); what kills it: DC decay faster than the 22%→3% fade,</v>
      </c>
    </row>
    <row r="115" spans="1:13" ht="15" customHeight="1" x14ac:dyDescent="0.15">
      <c r="A115" s="58" t="s">
        <v>1308</v>
      </c>
    </row>
    <row r="116" spans="1:13" ht="15" customHeight="1" x14ac:dyDescent="0.15">
      <c r="A116" s="58" t="str">
        <f>"Stance: DCF is a reference only (TV ≈ "&amp;TEXT(B53,"0%")&amp;" of EV — the terminal declaration and β drive it). The target price is P/E-based: "&amp;TEXT(Valuation!B42,"0")&amp;" = "&amp;TEXT(Valuation!B65,"0")&amp;"x FY28E EPS (Valuation §F), inside the street TP interquartile range."</f>
        <v>Stance: DCF is a reference only (TV ≈ 50% of EV — the terminal declaration and β drive it). The target price is P/E-based: 315 = 20x FY28E EPS (Valuation §F), inside the street TP interquartile range.</v>
      </c>
    </row>
    <row r="118" spans="1:13" ht="13.5" customHeight="1" x14ac:dyDescent="0.15">
      <c r="A118" s="56" t="s">
        <v>1309</v>
      </c>
    </row>
    <row r="119" spans="1:13" ht="13.5" customHeight="1" x14ac:dyDescent="0.15">
      <c r="A119" s="56" t="s">
        <v>1281</v>
      </c>
      <c r="B119" s="56" t="s">
        <v>1310</v>
      </c>
      <c r="C119" s="56" t="s">
        <v>1311</v>
      </c>
      <c r="D119" s="56" t="s">
        <v>1283</v>
      </c>
      <c r="E119" s="56" t="s">
        <v>1284</v>
      </c>
      <c r="F119" s="56" t="s">
        <v>1286</v>
      </c>
      <c r="G119" s="56" t="s">
        <v>1312</v>
      </c>
      <c r="H119" s="56" t="s">
        <v>1313</v>
      </c>
      <c r="I119" s="56" t="s">
        <v>1287</v>
      </c>
      <c r="J119" s="56" t="s">
        <v>256</v>
      </c>
    </row>
    <row r="120" spans="1:13" ht="13.5" customHeight="1" x14ac:dyDescent="0.15">
      <c r="A120" s="57" t="s">
        <v>1314</v>
      </c>
      <c r="B120" s="233">
        <v>0.25</v>
      </c>
      <c r="C120" s="233">
        <v>0.5</v>
      </c>
      <c r="D120" s="233">
        <v>0.15</v>
      </c>
      <c r="E120" s="76">
        <f>$B$24</f>
        <v>0.03</v>
      </c>
      <c r="F120" s="233">
        <v>5.0000000000000001E-3</v>
      </c>
      <c r="G120" s="57" t="s">
        <v>247</v>
      </c>
      <c r="H120" s="246">
        <v>70000</v>
      </c>
      <c r="I120" s="312">
        <f>(SUMPRODUCT($C$123:$L$123/(1+($B$22+$F$120))^$C$33:$L$33)+$L$123*(1+$E$120)/($B$22+$F$120-$E$120)/(1+$B$22+$F$120)^$B$50+$B$68-$H$120)/$B$70</f>
        <v>215.76239391435379</v>
      </c>
      <c r="J120" s="76">
        <f>I120/$B$73-1</f>
        <v>-6.38563263000963E-2</v>
      </c>
      <c r="M120" s="58" t="s">
        <v>1315</v>
      </c>
    </row>
    <row r="121" spans="1:13" ht="13.5" customHeight="1" x14ac:dyDescent="0.15">
      <c r="A121" s="57" t="s">
        <v>1316</v>
      </c>
      <c r="B121" s="57" t="s">
        <v>247</v>
      </c>
      <c r="C121" s="57" t="s">
        <v>247</v>
      </c>
      <c r="D121" s="76">
        <f>$B$26</f>
        <v>0.22</v>
      </c>
      <c r="E121" s="76">
        <f>$B$24</f>
        <v>0.03</v>
      </c>
      <c r="F121" s="76">
        <v>0</v>
      </c>
      <c r="G121" s="233">
        <v>0.44</v>
      </c>
      <c r="H121" s="77">
        <v>0</v>
      </c>
      <c r="I121" s="312">
        <f>(SUMPRODUCT($C$124:$L$124/(1+($B$22+$F$121))^$C$33:$L$33)+$L$124*(1+$E$121)/($B$22+$F$121-$E$121)/(1+$B$22+$F$121)^$B$50+$B$68-$H$121)/$B$70</f>
        <v>274.39116087521757</v>
      </c>
      <c r="J121" s="76">
        <f>I121/$B$73-1</f>
        <v>0.19052048279771605</v>
      </c>
      <c r="M121" s="58" t="s">
        <v>1317</v>
      </c>
    </row>
    <row r="123" spans="1:13" ht="13.5" customHeight="1" x14ac:dyDescent="0.15">
      <c r="A123" s="57" t="s">
        <v>1318</v>
      </c>
      <c r="C123" s="77">
        <f>C$40</f>
        <v>63835.310532550306</v>
      </c>
      <c r="D123" s="77">
        <f>D$40</f>
        <v>323624.94671802229</v>
      </c>
      <c r="E123" s="77">
        <f>E$40*(1-$B$120*$C$120)</f>
        <v>417897.19451894157</v>
      </c>
      <c r="F123" s="77">
        <f t="shared" ref="F123:L123" si="20">E123*(1+$D$120+($E$120-$D$120)*(COLUMN()-COLUMN($F$1))/(COLUMN($L$1)-COLUMN($F$1)))</f>
        <v>480581.77369678277</v>
      </c>
      <c r="G123" s="77">
        <f t="shared" si="20"/>
        <v>543057.40427736449</v>
      </c>
      <c r="H123" s="77">
        <f t="shared" si="20"/>
        <v>602793.71874787449</v>
      </c>
      <c r="I123" s="77">
        <f t="shared" si="20"/>
        <v>657045.15343518311</v>
      </c>
      <c r="J123" s="77">
        <f t="shared" si="20"/>
        <v>703038.31417564582</v>
      </c>
      <c r="K123" s="77">
        <f t="shared" si="20"/>
        <v>738190.22988442797</v>
      </c>
      <c r="L123" s="77">
        <f t="shared" si="20"/>
        <v>760335.93678096065</v>
      </c>
    </row>
    <row r="124" spans="1:13" ht="13.5" customHeight="1" x14ac:dyDescent="0.15">
      <c r="A124" s="57" t="s">
        <v>1319</v>
      </c>
      <c r="C124" s="77">
        <f>C$40</f>
        <v>63835.310532550306</v>
      </c>
      <c r="D124" s="77">
        <f>D$40</f>
        <v>323624.94671802229</v>
      </c>
      <c r="E124" s="77">
        <f>E$40</f>
        <v>477596.7937359332</v>
      </c>
      <c r="F124" s="77">
        <f>F$40*(1+($G$121/($E$40/IS!$AA$7)-1)*(COLUMN()-COLUMN($E$1))/(COLUMN($L$1)-COLUMN($E$1)))</f>
        <v>570171.95705037599</v>
      </c>
      <c r="G124" s="77">
        <f>G$40*(1+($G$121/($E$40/IS!$AA$7)-1)*(COLUMN()-COLUMN($E$1))/(COLUMN($L$1)-COLUMN($E$1)))</f>
        <v>662704.77292449505</v>
      </c>
      <c r="H124" s="77">
        <f>H$40*(1+($G$121/($E$40/IS!$AA$7)-1)*(COLUMN()-COLUMN($E$1))/(COLUMN($L$1)-COLUMN($E$1)))</f>
        <v>749352.51877760713</v>
      </c>
      <c r="I124" s="77">
        <f>I$40*(1+($G$121/($E$40/IS!$AA$7)-1)*(COLUMN()-COLUMN($E$1))/(COLUMN($L$1)-COLUMN($E$1)))</f>
        <v>823698.58148161648</v>
      </c>
      <c r="J124" s="77">
        <f>J$40*(1+($G$121/($E$40/IS!$AA$7)-1)*(COLUMN()-COLUMN($E$1))/(COLUMN($L$1)-COLUMN($E$1)))</f>
        <v>879450.63341001107</v>
      </c>
      <c r="K124" s="77">
        <f>K$40*(1+($G$121/($E$40/IS!$AA$7)-1)*(COLUMN()-COLUMN($E$1))/(COLUMN($L$1)-COLUMN($E$1)))</f>
        <v>911254.14038257382</v>
      </c>
      <c r="L124" s="77">
        <f>L$40*(1+($G$121/($E$40/IS!$AA$7)-1)*(COLUMN()-COLUMN($E$1))/(COLUMN($L$1)-COLUMN($E$1)))</f>
        <v>915489.60404369782</v>
      </c>
    </row>
    <row r="126" spans="1:13" x14ac:dyDescent="0.15">
      <c r="A126" s="56" t="s">
        <v>1320</v>
      </c>
    </row>
    <row r="127" spans="1:13" x14ac:dyDescent="0.15">
      <c r="A127" s="61" t="s">
        <v>1321</v>
      </c>
      <c r="B127" s="301">
        <v>74</v>
      </c>
      <c r="C127" s="58" t="s">
        <v>1322</v>
      </c>
    </row>
    <row r="128" spans="1:13" x14ac:dyDescent="0.15">
      <c r="A128" s="61" t="s">
        <v>1323</v>
      </c>
      <c r="B128" s="301">
        <v>91</v>
      </c>
      <c r="C128" s="58" t="s">
        <v>1324</v>
      </c>
    </row>
    <row r="129" spans="1:3" x14ac:dyDescent="0.15">
      <c r="A129" s="61" t="s">
        <v>1325</v>
      </c>
      <c r="B129" s="313">
        <f>B127/B128</f>
        <v>0.81318681318681318</v>
      </c>
      <c r="C129" s="58" t="s">
        <v>1326</v>
      </c>
    </row>
    <row r="130" spans="1:3" x14ac:dyDescent="0.15">
      <c r="A130" s="61" t="s">
        <v>1327</v>
      </c>
      <c r="B130" s="313">
        <f>1-B129</f>
        <v>0.18681318681318682</v>
      </c>
      <c r="C130" s="58" t="s">
        <v>1328</v>
      </c>
    </row>
    <row r="131" spans="1:3" x14ac:dyDescent="0.15">
      <c r="A131" s="61" t="s">
        <v>1329</v>
      </c>
      <c r="B131" s="301">
        <f>(B128-B127)+98</f>
        <v>115</v>
      </c>
      <c r="C131" s="58" t="s">
        <v>1330</v>
      </c>
    </row>
    <row r="132" spans="1:3" x14ac:dyDescent="0.15">
      <c r="A132" s="61" t="s">
        <v>1331</v>
      </c>
      <c r="B132" s="61" t="str">
        <f>IF(ABS(B129+B130-1)&lt;0.0000001,"PASS","FAIL")</f>
        <v>PASS</v>
      </c>
    </row>
    <row r="133" spans="1:3" x14ac:dyDescent="0.15">
      <c r="A133" s="61" t="s">
        <v>1332</v>
      </c>
      <c r="B133" s="61" t="str">
        <f>IF(ABS(CF!L16*$B$129+C34-(CF!L16+CF!M16))&lt;0.01,"PASS","FAIL")</f>
        <v>PASS</v>
      </c>
    </row>
    <row r="134" spans="1:3" x14ac:dyDescent="0.15">
      <c r="A134" s="61" t="s">
        <v>1333</v>
      </c>
      <c r="B134" s="61" t="str">
        <f>IF(ABS((-IS!L17*$B$129*(1-$B$15))+C35-(-(IS!L17+IS!M17)*(1-$B$15)))&lt;0.01,"PASS","FAIL")</f>
        <v>PASS</v>
      </c>
    </row>
    <row r="135" spans="1:3" x14ac:dyDescent="0.15">
      <c r="A135" s="61" t="s">
        <v>1334</v>
      </c>
      <c r="B135" s="61" t="str">
        <f>IF(ABS((-IS!L16*$B$129*(1-$B$15))+C36-(-(IS!L16+IS!M16)*(1-$B$15)))&lt;0.01,"PASS","FAIL")</f>
        <v>PASS</v>
      </c>
    </row>
    <row r="136" spans="1:3" x14ac:dyDescent="0.15">
      <c r="A136" s="61" t="s">
        <v>1335</v>
      </c>
      <c r="B136" s="61" t="str">
        <f>IF(ABS(CF!L17*$B$129+C37-(CF!L17+CF!M17))&lt;0.01,"PASS","FAIL")</f>
        <v>PASS</v>
      </c>
    </row>
    <row r="137" spans="1:3" x14ac:dyDescent="0.15">
      <c r="A137" s="61" t="s">
        <v>1336</v>
      </c>
      <c r="B137" s="61" t="str">
        <f>IF(AND(B7=DATE(2026,10,8),B127=74,B128=91,B131=115,ABS(C33-B131/2/365.25)&lt;0.000001),"PASS","FAIL")</f>
        <v>PASS</v>
      </c>
    </row>
    <row r="138" spans="1:3" x14ac:dyDescent="0.15">
      <c r="A138" s="61" t="s">
        <v>1337</v>
      </c>
      <c r="B138" s="61" t="str">
        <f>IF(ABS(B68-((BS!K7+BS!K8+Raw_Data!K369-(BS!K23+BS!K25)-Raw_Data!K377)+(CF!L16+CF!L19+CF!L24+CF!L25+CF!L37+CF!L38)*$B$129))&lt;0.01,"PASS","FAIL")</f>
        <v>PASS</v>
      </c>
    </row>
  </sheetData>
  <phoneticPr fontId="61" type="noConversion"/>
  <pageMargins left="0.75" right="0.75" top="1" bottom="1" header="0.511811023622047" footer="0.511811023622047"/>
  <pageSetup fitToHeight="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82"/>
  <sheetViews>
    <sheetView showGridLines="0" zoomScale="150" zoomScaleNormal="150" workbookViewId="0">
      <selection activeCell="D40" sqref="D40"/>
    </sheetView>
  </sheetViews>
  <sheetFormatPr baseColWidth="10" defaultColWidth="8.6640625" defaultRowHeight="14" x14ac:dyDescent="0.15"/>
  <cols>
    <col min="1" max="1" width="52" customWidth="1"/>
    <col min="2" max="2" width="13" customWidth="1"/>
    <col min="3" max="3" width="11" customWidth="1"/>
    <col min="4" max="4" width="42" customWidth="1"/>
    <col min="5" max="5" width="21" customWidth="1"/>
    <col min="6" max="6" width="72" customWidth="1"/>
  </cols>
  <sheetData>
    <row r="1" spans="1:6" ht="21.75" customHeight="1" x14ac:dyDescent="0.2">
      <c r="A1" s="68" t="s">
        <v>1338</v>
      </c>
      <c r="B1" s="68"/>
      <c r="C1" s="68"/>
      <c r="D1" s="68"/>
      <c r="E1" s="68"/>
      <c r="F1" s="68"/>
    </row>
    <row r="2" spans="1:6" ht="15" customHeight="1" x14ac:dyDescent="0.15">
      <c r="A2" s="291" t="s">
        <v>1339</v>
      </c>
    </row>
    <row r="3" spans="1:6" ht="15" customHeight="1" x14ac:dyDescent="0.15">
      <c r="A3" s="61" t="str">
        <f>"USD per share | valuation date 2026-10-08 | price basis "&amp;TEXT(Raw_Data!I171,"0.00")&amp;" USD (2026-10-08) | DCF WACC "&amp;TEXT(DCF!B22,"0.00%")&amp;" | EPS basis: FY27 = street-basis non-GAAP (IS!Y49); FY28+ GAAP with zero future securities gains ≈ street non-GAAP"</f>
        <v>USD per share | valuation date 2026-10-08 | price basis 230.48 USD (2026-10-08) | DCF WACC 12.90% | EPS basis: FY27 = street-basis non-GAAP (IS!Y49); FY28+ GAAP with zero future securities gains ≈ street non-GAAP</v>
      </c>
    </row>
    <row r="4" spans="1:6" ht="15" customHeight="1" x14ac:dyDescent="0.15">
      <c r="A4" s="58" t="s">
        <v>1340</v>
      </c>
    </row>
    <row r="6" spans="1:6" ht="15" customHeight="1" x14ac:dyDescent="0.15">
      <c r="A6" s="53" t="s">
        <v>1341</v>
      </c>
      <c r="B6" s="53"/>
      <c r="C6" s="53"/>
      <c r="D6" s="53"/>
      <c r="E6" s="53"/>
      <c r="F6" s="53"/>
    </row>
    <row r="7" spans="1:6" ht="15" customHeight="1" x14ac:dyDescent="0.15">
      <c r="A7" s="291" t="s">
        <v>117</v>
      </c>
      <c r="B7" s="291" t="s">
        <v>255</v>
      </c>
      <c r="C7" s="291" t="s">
        <v>256</v>
      </c>
      <c r="D7" s="291" t="s">
        <v>257</v>
      </c>
      <c r="E7" s="291" t="s">
        <v>1342</v>
      </c>
      <c r="F7" s="291" t="s">
        <v>531</v>
      </c>
    </row>
    <row r="8" spans="1:6" ht="15" customHeight="1" x14ac:dyDescent="0.15">
      <c r="A8" s="61" t="s">
        <v>1343</v>
      </c>
      <c r="B8" s="310">
        <f>DCF!B71</f>
        <v>307.12299279094611</v>
      </c>
      <c r="C8" s="297">
        <f t="shared" ref="C8:C22" si="0">B8/$B$23-1</f>
        <v>0.33253641440014814</v>
      </c>
      <c r="D8" s="58" t="str">
        <f>"WACC "&amp;TEXT(DCF!B22,"0.00%")&amp;", terminal g "&amp;TEXT(DCF!B24,"0.0%")</f>
        <v>WACC 12.90%, terminal g 3.0%</v>
      </c>
      <c r="E8" s="58" t="s">
        <v>1344</v>
      </c>
      <c r="F8" s="58" t="str">
        <f>"TV share of EV "&amp;TEXT(DCF!B53,"0%")&amp;"; Gordon implied exit multiple "&amp;TEXT(DCF!B57,"0.0")&amp;"x vs the "&amp;TEXT(DCF!B25,"0.0")&amp;"x cross-check"</f>
        <v>TV share of EV 50%; Gordon implied exit multiple 8.0x vs the 14.0x cross-check</v>
      </c>
    </row>
    <row r="9" spans="1:6" ht="15" customHeight="1" x14ac:dyDescent="0.15">
      <c r="A9" s="61" t="s">
        <v>1345</v>
      </c>
      <c r="B9" s="310">
        <f>DCF!G81</f>
        <v>362.29190450013317</v>
      </c>
      <c r="C9" s="297">
        <f t="shared" si="0"/>
        <v>0.57190170296829734</v>
      </c>
      <c r="D9" s="58" t="s">
        <v>1346</v>
      </c>
      <c r="E9" s="58" t="s">
        <v>1347</v>
      </c>
    </row>
    <row r="10" spans="1:6" ht="15" customHeight="1" x14ac:dyDescent="0.15">
      <c r="A10" s="61" t="s">
        <v>1348</v>
      </c>
      <c r="B10" s="310">
        <f>DCF!G82</f>
        <v>202.05485224764851</v>
      </c>
      <c r="C10" s="297">
        <f t="shared" si="0"/>
        <v>-0.12333021412856426</v>
      </c>
      <c r="D10" s="58" t="s">
        <v>1349</v>
      </c>
      <c r="E10" s="58" t="s">
        <v>1347</v>
      </c>
    </row>
    <row r="11" spans="1:6" ht="15" customHeight="1" x14ac:dyDescent="0.15">
      <c r="A11" s="61" t="s">
        <v>1350</v>
      </c>
      <c r="B11" s="310">
        <f>DCF!B72</f>
        <v>419.68462925112073</v>
      </c>
      <c r="C11" s="297">
        <f t="shared" si="0"/>
        <v>0.82091560764977767</v>
      </c>
      <c r="D11" s="58" t="s">
        <v>1351</v>
      </c>
      <c r="E11" s="58" t="s">
        <v>1344</v>
      </c>
      <c r="F11" s="58" t="s">
        <v>1352</v>
      </c>
    </row>
    <row r="12" spans="1:6" ht="15" customHeight="1" x14ac:dyDescent="0.15">
      <c r="A12" s="61" t="s">
        <v>1353</v>
      </c>
      <c r="B12" s="287">
        <f>Comps!S12*Raw_Data!P171</f>
        <v>838.38839344262317</v>
      </c>
      <c r="C12" s="297">
        <f t="shared" si="0"/>
        <v>2.6375754661689657</v>
      </c>
      <c r="D12" s="58" t="s">
        <v>1354</v>
      </c>
      <c r="E12" s="58" t="s">
        <v>1355</v>
      </c>
      <c r="F12" s="58" t="s">
        <v>1356</v>
      </c>
    </row>
    <row r="13" spans="1:6" ht="15" customHeight="1" x14ac:dyDescent="0.15">
      <c r="A13" s="61" t="s">
        <v>1357</v>
      </c>
      <c r="B13" s="93">
        <f>Comps!T12*Raw_Data!Q171</f>
        <v>723.44460073260063</v>
      </c>
      <c r="C13" s="297">
        <f t="shared" si="0"/>
        <v>2.1388606418457163</v>
      </c>
      <c r="D13" s="58" t="s">
        <v>1358</v>
      </c>
      <c r="E13" s="58" t="s">
        <v>1355</v>
      </c>
    </row>
    <row r="14" spans="1:6" ht="15" customHeight="1" x14ac:dyDescent="0.15">
      <c r="A14" s="61" t="s">
        <v>1359</v>
      </c>
      <c r="B14" s="93">
        <f>Comps!S21*Raw_Data!P171</f>
        <v>580.85781292189017</v>
      </c>
      <c r="C14" s="297">
        <f t="shared" si="0"/>
        <v>1.5202091848398567</v>
      </c>
      <c r="D14" s="58" t="s">
        <v>1360</v>
      </c>
      <c r="E14" s="58" t="s">
        <v>1355</v>
      </c>
    </row>
    <row r="15" spans="1:6" ht="15" customHeight="1" x14ac:dyDescent="0.15">
      <c r="A15" s="61" t="s">
        <v>1361</v>
      </c>
      <c r="B15" s="93">
        <f>Comps!T21*Raw_Data!Q171</f>
        <v>557.00257233282741</v>
      </c>
      <c r="C15" s="297">
        <f t="shared" si="0"/>
        <v>1.4167067525721428</v>
      </c>
      <c r="D15" s="58" t="s">
        <v>1362</v>
      </c>
      <c r="E15" s="58" t="s">
        <v>1355</v>
      </c>
    </row>
    <row r="16" spans="1:6" ht="15" customHeight="1" x14ac:dyDescent="0.15">
      <c r="A16" s="61" t="s">
        <v>1363</v>
      </c>
      <c r="B16" s="287">
        <f>Comps!R21*Raw_Data!E357</f>
        <v>538.46259265495098</v>
      </c>
      <c r="C16" s="297">
        <f t="shared" si="0"/>
        <v>1.3362660215851743</v>
      </c>
      <c r="D16" s="58" t="s">
        <v>1364</v>
      </c>
      <c r="E16" s="58" t="s">
        <v>1355</v>
      </c>
    </row>
    <row r="17" spans="1:6" ht="15" customHeight="1" x14ac:dyDescent="0.15">
      <c r="A17" s="61" t="s">
        <v>1365</v>
      </c>
      <c r="B17" s="287">
        <f>Comps!X21*Raw_Data!M171/(Raw_Data!K171/Raw_Data!I171)</f>
        <v>127.7950095385536</v>
      </c>
      <c r="C17" s="297">
        <f t="shared" si="0"/>
        <v>-0.44552668544535923</v>
      </c>
      <c r="D17" s="58" t="s">
        <v>1366</v>
      </c>
      <c r="E17" s="58" t="s">
        <v>1355</v>
      </c>
      <c r="F17" s="58" t="s">
        <v>1367</v>
      </c>
    </row>
    <row r="18" spans="1:6" ht="15" customHeight="1" x14ac:dyDescent="0.15">
      <c r="A18" s="61" t="s">
        <v>1368</v>
      </c>
      <c r="B18" s="287">
        <f>(23.2609*SUM(IS!H7:K7)/1000-Raw_Data!L171)/(Raw_Data!K171/Raw_Data!I171)</f>
        <v>293.38382996928777</v>
      </c>
      <c r="C18" s="297">
        <f t="shared" si="0"/>
        <v>0.27292532961336247</v>
      </c>
      <c r="D18" s="58" t="s">
        <v>1369</v>
      </c>
      <c r="E18" s="58" t="s">
        <v>1370</v>
      </c>
      <c r="F18" s="58" t="s">
        <v>1371</v>
      </c>
    </row>
    <row r="19" spans="1:6" ht="15" customHeight="1" x14ac:dyDescent="0.15">
      <c r="A19" s="61" t="s">
        <v>1372</v>
      </c>
      <c r="B19" s="287">
        <f>AVERAGE(Raw_Data!E176:E190)</f>
        <v>316.46666666666664</v>
      </c>
      <c r="C19" s="297">
        <f t="shared" si="0"/>
        <v>0.37307647807474242</v>
      </c>
      <c r="D19" s="58" t="s">
        <v>1373</v>
      </c>
      <c r="E19" s="58" t="s">
        <v>1374</v>
      </c>
    </row>
    <row r="20" spans="1:6" ht="15" customHeight="1" x14ac:dyDescent="0.15">
      <c r="A20" s="61" t="s">
        <v>263</v>
      </c>
      <c r="B20" s="287">
        <f>MEDIAN(Raw_Data!E176:E190)</f>
        <v>315</v>
      </c>
      <c r="C20" s="297">
        <f t="shared" si="0"/>
        <v>0.36671294689343981</v>
      </c>
      <c r="D20" s="91"/>
      <c r="E20" s="58" t="s">
        <v>1374</v>
      </c>
    </row>
    <row r="21" spans="1:6" ht="15" customHeight="1" x14ac:dyDescent="0.15">
      <c r="A21" s="61" t="s">
        <v>1375</v>
      </c>
      <c r="B21" s="287">
        <f>MIN(Raw_Data!E176:E190)</f>
        <v>275</v>
      </c>
      <c r="C21" s="297">
        <f t="shared" si="0"/>
        <v>0.19316209649427285</v>
      </c>
      <c r="D21" s="58" t="s">
        <v>1376</v>
      </c>
      <c r="E21" s="58" t="s">
        <v>1374</v>
      </c>
    </row>
    <row r="22" spans="1:6" ht="15" customHeight="1" x14ac:dyDescent="0.15">
      <c r="A22" s="61" t="s">
        <v>1377</v>
      </c>
      <c r="B22" s="287">
        <f>MAX(Raw_Data!E176:E190)</f>
        <v>365</v>
      </c>
      <c r="C22" s="297">
        <f t="shared" si="0"/>
        <v>0.58365150989239845</v>
      </c>
      <c r="D22" s="58" t="s">
        <v>1378</v>
      </c>
      <c r="E22" s="58" t="s">
        <v>1374</v>
      </c>
    </row>
    <row r="23" spans="1:6" ht="15" customHeight="1" x14ac:dyDescent="0.15">
      <c r="A23" s="61" t="s">
        <v>1379</v>
      </c>
      <c r="B23" s="287">
        <f>Raw_Data!I171</f>
        <v>230.48</v>
      </c>
      <c r="D23" s="58" t="s">
        <v>1380</v>
      </c>
      <c r="E23" s="58" t="s">
        <v>1381</v>
      </c>
      <c r="F23" s="58" t="s">
        <v>1382</v>
      </c>
    </row>
    <row r="25" spans="1:6" ht="15" customHeight="1" x14ac:dyDescent="0.15">
      <c r="A25" s="53" t="s">
        <v>1383</v>
      </c>
      <c r="B25" s="53"/>
      <c r="C25" s="53"/>
      <c r="D25" s="53"/>
      <c r="E25" s="53"/>
      <c r="F25" s="53"/>
    </row>
    <row r="26" spans="1:6" ht="15" customHeight="1" x14ac:dyDescent="0.15">
      <c r="A26" s="291" t="s">
        <v>1384</v>
      </c>
      <c r="B26" s="291" t="s">
        <v>118</v>
      </c>
      <c r="C26" s="291" t="s">
        <v>432</v>
      </c>
      <c r="D26" s="291" t="s">
        <v>1385</v>
      </c>
      <c r="E26" s="291"/>
      <c r="F26" s="291" t="s">
        <v>531</v>
      </c>
    </row>
    <row r="27" spans="1:6" ht="15" customHeight="1" x14ac:dyDescent="0.15">
      <c r="A27" s="61" t="s">
        <v>1386</v>
      </c>
      <c r="B27" s="310">
        <f>MIN(B8:B11)</f>
        <v>202.05485224764851</v>
      </c>
      <c r="C27" s="310">
        <f>MAX(B8:B11)</f>
        <v>419.68462925112073</v>
      </c>
      <c r="D27" s="58" t="s">
        <v>1387</v>
      </c>
      <c r="F27" s="58" t="s">
        <v>1388</v>
      </c>
    </row>
    <row r="28" spans="1:6" ht="15" customHeight="1" x14ac:dyDescent="0.15">
      <c r="A28" s="61" t="s">
        <v>1389</v>
      </c>
      <c r="B28" s="310">
        <f>MIN(B12:B16)</f>
        <v>538.46259265495098</v>
      </c>
      <c r="C28" s="310">
        <f>MAX(B12:B16)</f>
        <v>838.38839344262317</v>
      </c>
      <c r="D28" s="58" t="s">
        <v>1390</v>
      </c>
      <c r="F28" s="58" t="s">
        <v>1391</v>
      </c>
    </row>
    <row r="29" spans="1:6" ht="15" customHeight="1" x14ac:dyDescent="0.15">
      <c r="A29" s="61" t="s">
        <v>1392</v>
      </c>
      <c r="B29" s="310">
        <f>MIN(B17:B18)</f>
        <v>127.7950095385536</v>
      </c>
      <c r="C29" s="310">
        <f>MAX(B17:B18)</f>
        <v>293.38382996928777</v>
      </c>
      <c r="D29" s="58" t="s">
        <v>1393</v>
      </c>
    </row>
    <row r="30" spans="1:6" ht="15" customHeight="1" x14ac:dyDescent="0.15">
      <c r="A30" s="61" t="s">
        <v>1394</v>
      </c>
      <c r="B30" s="310">
        <f>B21</f>
        <v>275</v>
      </c>
      <c r="C30" s="310">
        <f>B22</f>
        <v>365</v>
      </c>
      <c r="D30" s="58" t="s">
        <v>1395</v>
      </c>
    </row>
    <row r="31" spans="1:6" ht="15" customHeight="1" x14ac:dyDescent="0.15">
      <c r="A31" s="57" t="s">
        <v>1396</v>
      </c>
      <c r="B31" s="310">
        <f>B74</f>
        <v>300</v>
      </c>
      <c r="C31" s="310">
        <f>D74</f>
        <v>335</v>
      </c>
      <c r="D31" s="58" t="s">
        <v>1397</v>
      </c>
      <c r="F31" s="58" t="s">
        <v>1398</v>
      </c>
    </row>
    <row r="33" spans="1:6" ht="15" customHeight="1" x14ac:dyDescent="0.15">
      <c r="A33" s="53" t="s">
        <v>1399</v>
      </c>
      <c r="B33" s="53"/>
      <c r="C33" s="53"/>
      <c r="D33" s="53"/>
      <c r="E33" s="53"/>
      <c r="F33" s="53"/>
    </row>
    <row r="34" spans="1:6" ht="15" customHeight="1" x14ac:dyDescent="0.15">
      <c r="A34" s="291" t="s">
        <v>1400</v>
      </c>
      <c r="B34" s="291" t="s">
        <v>255</v>
      </c>
      <c r="C34" s="291" t="s">
        <v>1401</v>
      </c>
      <c r="D34" s="291" t="s">
        <v>1402</v>
      </c>
      <c r="E34" s="291"/>
      <c r="F34" s="291" t="s">
        <v>1403</v>
      </c>
    </row>
    <row r="35" spans="1:6" ht="15" customHeight="1" x14ac:dyDescent="0.15">
      <c r="A35" s="57" t="s">
        <v>1404</v>
      </c>
      <c r="B35" s="93">
        <f>B67</f>
        <v>315</v>
      </c>
      <c r="C35" s="233">
        <v>1</v>
      </c>
      <c r="D35" s="310">
        <f t="shared" ref="D35:D40" si="1">B35*C35</f>
        <v>315</v>
      </c>
      <c r="F35" s="58" t="s">
        <v>1405</v>
      </c>
    </row>
    <row r="36" spans="1:6" ht="15" customHeight="1" x14ac:dyDescent="0.15">
      <c r="A36" s="57" t="s">
        <v>1406</v>
      </c>
      <c r="B36" s="93">
        <f>B8</f>
        <v>307.12299279094611</v>
      </c>
      <c r="C36" s="233">
        <v>0</v>
      </c>
      <c r="D36" s="310">
        <f t="shared" si="1"/>
        <v>0</v>
      </c>
      <c r="F36" s="58" t="s">
        <v>1407</v>
      </c>
    </row>
    <row r="37" spans="1:6" ht="15" customHeight="1" x14ac:dyDescent="0.15">
      <c r="A37" s="61" t="s">
        <v>1408</v>
      </c>
      <c r="B37" s="310">
        <f>B19</f>
        <v>316.46666666666664</v>
      </c>
      <c r="C37" s="295">
        <v>0</v>
      </c>
      <c r="D37" s="310">
        <f t="shared" si="1"/>
        <v>0</v>
      </c>
      <c r="F37" s="58" t="s">
        <v>1409</v>
      </c>
    </row>
    <row r="38" spans="1:6" ht="15" customHeight="1" x14ac:dyDescent="0.15">
      <c r="A38" s="61" t="s">
        <v>1410</v>
      </c>
      <c r="B38" s="310">
        <f>AVERAGE(B12:B16)</f>
        <v>647.63119441697847</v>
      </c>
      <c r="C38" s="295">
        <v>0</v>
      </c>
      <c r="D38" s="310">
        <f t="shared" si="1"/>
        <v>0</v>
      </c>
      <c r="F38" s="58" t="s">
        <v>1411</v>
      </c>
    </row>
    <row r="39" spans="1:6" ht="15" customHeight="1" x14ac:dyDescent="0.15">
      <c r="A39" s="61" t="s">
        <v>1412</v>
      </c>
      <c r="B39" s="310">
        <f>B18</f>
        <v>293.38382996928777</v>
      </c>
      <c r="C39" s="295">
        <v>0</v>
      </c>
      <c r="D39" s="310">
        <f t="shared" si="1"/>
        <v>0</v>
      </c>
      <c r="F39" s="58" t="s">
        <v>1413</v>
      </c>
    </row>
    <row r="40" spans="1:6" ht="15" customHeight="1" x14ac:dyDescent="0.15">
      <c r="A40" s="314" t="s">
        <v>1414</v>
      </c>
      <c r="B40" s="315">
        <f>B17</f>
        <v>127.7950095385536</v>
      </c>
      <c r="C40" s="316">
        <v>0</v>
      </c>
      <c r="D40" s="315">
        <f t="shared" si="1"/>
        <v>0</v>
      </c>
      <c r="F40" s="58" t="s">
        <v>1415</v>
      </c>
    </row>
    <row r="41" spans="1:6" ht="15" customHeight="1" x14ac:dyDescent="0.15">
      <c r="A41" s="61" t="s">
        <v>1416</v>
      </c>
      <c r="C41" s="297">
        <f>SUM(C35:C40)</f>
        <v>1</v>
      </c>
      <c r="F41" s="58" t="s">
        <v>1417</v>
      </c>
    </row>
    <row r="42" spans="1:6" ht="15" customHeight="1" x14ac:dyDescent="0.15">
      <c r="A42" s="56" t="s">
        <v>1418</v>
      </c>
      <c r="B42" s="309">
        <f>SUMPRODUCT(B35:B40,C35:C40)</f>
        <v>315</v>
      </c>
      <c r="F42" s="58" t="s">
        <v>1419</v>
      </c>
    </row>
    <row r="43" spans="1:6" ht="15" customHeight="1" x14ac:dyDescent="0.15">
      <c r="A43" s="291" t="str">
        <f>"Upside vs price "&amp;TEXT(B23,"0.00")</f>
        <v>Upside vs price 230.48</v>
      </c>
      <c r="B43" s="296">
        <f>B42/B23-1</f>
        <v>0.36671294689343981</v>
      </c>
    </row>
    <row r="45" spans="1:6" ht="15" customHeight="1" x14ac:dyDescent="0.15">
      <c r="A45" s="53" t="s">
        <v>1420</v>
      </c>
      <c r="B45" s="53"/>
      <c r="C45" s="53"/>
      <c r="D45" s="53"/>
      <c r="E45" s="53"/>
      <c r="F45" s="53"/>
    </row>
    <row r="46" spans="1:6" ht="15" customHeight="1" x14ac:dyDescent="0.15">
      <c r="A46" s="61" t="s">
        <v>1421</v>
      </c>
      <c r="B46" s="317">
        <f>B42/IS!Y49</f>
        <v>34.511484755735019</v>
      </c>
      <c r="C46" s="58" t="s">
        <v>1422</v>
      </c>
      <c r="E46" s="58" t="s">
        <v>1370</v>
      </c>
      <c r="F46" s="58" t="str">
        <f>"model FY27 street-basis non-GAAP EPS "&amp;TEXT(IS!Y49,"0.00")&amp;" (IS!Y49; GAAP "&amp;TEXT(IS!Y33,"0.00")&amp;" incl. H1 realized securities gains) — comparable with the street / comps non-GAAP basis"</f>
        <v>model FY27 street-basis non-GAAP EPS 9.13 (IS!Y49; GAAP 9.89 incl. H1 realized securities gains) — comparable with the street / comps non-GAAP basis</v>
      </c>
    </row>
    <row r="47" spans="1:6" ht="15" customHeight="1" x14ac:dyDescent="0.15">
      <c r="A47" s="61" t="s">
        <v>1423</v>
      </c>
      <c r="B47" s="317">
        <f>B42/IS!Z33</f>
        <v>19.856583543674361</v>
      </c>
      <c r="C47" s="58" t="s">
        <v>1424</v>
      </c>
      <c r="E47" s="58" t="s">
        <v>1370</v>
      </c>
      <c r="F47" s="58" t="str">
        <f>"model FY28 EPS "&amp;TEXT(IS!Z33,"0.00")&amp;" vs street "&amp;TEXT(Raw_Data!Q171,"0.00")&amp;" ("&amp;TEXT(IS!Z33/Raw_Data!Q171-1,"+0.0%;-0.0%")&amp;"); native annual EPS basis (IS!Z33)"</f>
        <v>model FY28 EPS 15.86 vs street 15.91 (-0.3%); native annual EPS basis (IS!Z33)</v>
      </c>
    </row>
    <row r="48" spans="1:6" ht="15" customHeight="1" x14ac:dyDescent="0.15">
      <c r="A48" s="61" t="s">
        <v>1425</v>
      </c>
      <c r="B48" s="317">
        <f>(B42*IS!K31-DCF!B68)/IS!X7</f>
        <v>34.85238562535428</v>
      </c>
      <c r="C48" s="58" t="s">
        <v>1426</v>
      </c>
      <c r="E48" s="58" t="s">
        <v>1370</v>
      </c>
      <c r="F48" s="58" t="s">
        <v>1427</v>
      </c>
    </row>
    <row r="49" spans="1:6" ht="15" customHeight="1" x14ac:dyDescent="0.15">
      <c r="A49" s="61" t="s">
        <v>1428</v>
      </c>
      <c r="B49" s="297">
        <f>B8/B19-1</f>
        <v>-2.9524985914431867E-2</v>
      </c>
      <c r="F49" s="58" t="str">
        <f>IF(B49&lt;0,"DCF base sits below the street TP mean ("&amp;TEXT(B49,"0.0%")&amp;")","DCF base sits above the street TP mean (+"&amp;TEXT(B49,"0.0%")&amp;")")</f>
        <v>DCF base sits below the street TP mean (-3.0%)</v>
      </c>
    </row>
    <row r="50" spans="1:6" ht="15" customHeight="1" x14ac:dyDescent="0.15">
      <c r="A50" s="61" t="s">
        <v>1429</v>
      </c>
      <c r="B50" s="297">
        <f>B42/B19-1</f>
        <v>-4.6345060037917829E-3</v>
      </c>
    </row>
    <row r="51" spans="1:6" ht="15" customHeight="1" x14ac:dyDescent="0.15">
      <c r="A51" s="61" t="s">
        <v>1430</v>
      </c>
      <c r="B51" s="297">
        <f>B42/B8-1</f>
        <v>2.5647728740438636E-2</v>
      </c>
    </row>
    <row r="53" spans="1:6" ht="15" customHeight="1" x14ac:dyDescent="0.15">
      <c r="A53" s="53" t="s">
        <v>1431</v>
      </c>
      <c r="B53" s="53"/>
      <c r="C53" s="53"/>
      <c r="D53" s="53"/>
      <c r="E53" s="53"/>
      <c r="F53" s="53"/>
    </row>
    <row r="54" spans="1:6" ht="15" customHeight="1" x14ac:dyDescent="0.15">
      <c r="A54" s="61" t="s">
        <v>1432</v>
      </c>
      <c r="B54" s="61" t="str">
        <f>IF(ABS(C41-1)&lt;0.0001,"PASS","REVIEW")</f>
        <v>PASS</v>
      </c>
    </row>
    <row r="55" spans="1:6" ht="15" customHeight="1" x14ac:dyDescent="0.15">
      <c r="A55" s="61" t="s">
        <v>1433</v>
      </c>
      <c r="B55" s="61" t="str">
        <f>IF(AND(B42&gt;=B31,B42&lt;=C31),"PASS","REVIEW")</f>
        <v>PASS</v>
      </c>
    </row>
    <row r="57" spans="1:6" ht="15" customHeight="1" x14ac:dyDescent="0.15">
      <c r="A57" s="58" t="s">
        <v>1434</v>
      </c>
    </row>
    <row r="58" spans="1:6" ht="15" customHeight="1" x14ac:dyDescent="0.15">
      <c r="A58" s="58" t="s">
        <v>1435</v>
      </c>
    </row>
    <row r="59" spans="1:6" ht="15" customHeight="1" x14ac:dyDescent="0.15">
      <c r="A59" s="58" t="s">
        <v>1436</v>
      </c>
    </row>
    <row r="60" spans="1:6" ht="15" customHeight="1" x14ac:dyDescent="0.15">
      <c r="A60" s="58" t="s">
        <v>1437</v>
      </c>
    </row>
    <row r="62" spans="1:6" ht="13.5" customHeight="1" x14ac:dyDescent="0.15">
      <c r="A62" s="56" t="s">
        <v>1438</v>
      </c>
    </row>
    <row r="64" spans="1:6" ht="13.5" customHeight="1" x14ac:dyDescent="0.15">
      <c r="A64" s="57" t="s">
        <v>1439</v>
      </c>
      <c r="B64" s="93">
        <f>IS!Z33</f>
        <v>15.863756184801911</v>
      </c>
      <c r="D64" s="58" t="s">
        <v>1440</v>
      </c>
    </row>
    <row r="65" spans="1:6" ht="13.5" customHeight="1" x14ac:dyDescent="0.15">
      <c r="A65" s="57" t="s">
        <v>1441</v>
      </c>
      <c r="B65" s="318">
        <v>20</v>
      </c>
      <c r="D65" s="58" t="s">
        <v>1442</v>
      </c>
    </row>
    <row r="66" spans="1:6" ht="13.5" customHeight="1" x14ac:dyDescent="0.15">
      <c r="A66" s="57" t="s">
        <v>1443</v>
      </c>
      <c r="B66" s="93">
        <f>B64*B65</f>
        <v>317.27512369603824</v>
      </c>
    </row>
    <row r="67" spans="1:6" ht="13.5" customHeight="1" x14ac:dyDescent="0.15">
      <c r="A67" s="56" t="s">
        <v>1444</v>
      </c>
      <c r="B67" s="94">
        <f>MROUND(B66,5)</f>
        <v>315</v>
      </c>
    </row>
    <row r="68" spans="1:6" ht="13.5" customHeight="1" x14ac:dyDescent="0.15">
      <c r="A68" s="57" t="s">
        <v>1445</v>
      </c>
      <c r="B68" s="76">
        <f>B67/B23-1</f>
        <v>0.36671294689343981</v>
      </c>
    </row>
    <row r="69" spans="1:6" ht="13.5" customHeight="1" x14ac:dyDescent="0.15">
      <c r="A69" s="56" t="s">
        <v>1446</v>
      </c>
      <c r="B69" s="56" t="s">
        <v>1447</v>
      </c>
      <c r="C69" s="56" t="s">
        <v>1448</v>
      </c>
      <c r="D69" s="56" t="s">
        <v>1449</v>
      </c>
      <c r="E69" s="56" t="s">
        <v>1450</v>
      </c>
    </row>
    <row r="70" spans="1:6" ht="13.5" customHeight="1" x14ac:dyDescent="0.15">
      <c r="A70" s="57" t="s">
        <v>1451</v>
      </c>
      <c r="B70" s="287">
        <f>Raw_Data!E176</f>
        <v>300</v>
      </c>
      <c r="C70" s="287">
        <f>Raw_Data!D311</f>
        <v>16.7</v>
      </c>
      <c r="D70" s="319">
        <f>B70/C70</f>
        <v>17.964071856287426</v>
      </c>
      <c r="E70" s="58" t="s">
        <v>1452</v>
      </c>
    </row>
    <row r="71" spans="1:6" ht="13.5" customHeight="1" x14ac:dyDescent="0.15">
      <c r="A71" s="57" t="s">
        <v>1453</v>
      </c>
      <c r="B71" s="287">
        <f>Raw_Data!E177</f>
        <v>300</v>
      </c>
      <c r="C71" s="287">
        <f>Raw_Data!D312</f>
        <v>15.01</v>
      </c>
      <c r="D71" s="319">
        <f>B71/C71</f>
        <v>19.986675549633578</v>
      </c>
      <c r="E71" s="58" t="s">
        <v>1454</v>
      </c>
    </row>
    <row r="72" spans="1:6" ht="13.5" customHeight="1" x14ac:dyDescent="0.15">
      <c r="A72" s="57" t="s">
        <v>1455</v>
      </c>
      <c r="B72" s="287">
        <f>Raw_Data!E179</f>
        <v>320</v>
      </c>
      <c r="C72" s="287">
        <v>15.87</v>
      </c>
      <c r="D72" s="319">
        <f>B72/C72</f>
        <v>20.163831127914303</v>
      </c>
      <c r="E72" s="58" t="s">
        <v>1456</v>
      </c>
    </row>
    <row r="73" spans="1:6" ht="13.5" customHeight="1" x14ac:dyDescent="0.15">
      <c r="A73" s="57" t="s">
        <v>1457</v>
      </c>
      <c r="D73" s="320">
        <f>MEDIAN(D70:D72)</f>
        <v>19.986675549633578</v>
      </c>
    </row>
    <row r="74" spans="1:6" ht="13.5" customHeight="1" x14ac:dyDescent="0.15">
      <c r="A74" s="57" t="s">
        <v>1458</v>
      </c>
      <c r="B74" s="93">
        <f>QUARTILE(Raw_Data!E176:E190,1)</f>
        <v>300</v>
      </c>
      <c r="C74" s="93">
        <f>MEDIAN(Raw_Data!E176:E190)</f>
        <v>315</v>
      </c>
      <c r="D74" s="93">
        <f>QUARTILE(Raw_Data!E176:E190,3)</f>
        <v>335</v>
      </c>
      <c r="E74" s="58" t="s">
        <v>1459</v>
      </c>
    </row>
    <row r="75" spans="1:6" ht="13.5" customHeight="1" x14ac:dyDescent="0.15">
      <c r="A75" s="57" t="s">
        <v>1460</v>
      </c>
      <c r="D75" s="319">
        <f>B23/B64</f>
        <v>14.528715476654179</v>
      </c>
    </row>
    <row r="76" spans="1:6" ht="13.5" customHeight="1" x14ac:dyDescent="0.15">
      <c r="A76" s="57" t="s">
        <v>1461</v>
      </c>
      <c r="B76" s="319">
        <f>Comps!T6</f>
        <v>20.650229357798164</v>
      </c>
      <c r="C76" s="319">
        <f>Comps!T15</f>
        <v>21.471636193155181</v>
      </c>
    </row>
    <row r="78" spans="1:6" ht="13.5" customHeight="1" x14ac:dyDescent="0.15">
      <c r="A78" s="56" t="s">
        <v>1462</v>
      </c>
      <c r="B78" s="321">
        <v>16</v>
      </c>
      <c r="C78" s="55">
        <f>B78*$B$64</f>
        <v>253.82009895683058</v>
      </c>
      <c r="D78" s="319"/>
      <c r="E78" s="319"/>
      <c r="F78" s="319"/>
    </row>
    <row r="79" spans="1:6" ht="13.5" customHeight="1" x14ac:dyDescent="0.15">
      <c r="A79" s="56" t="s">
        <v>1463</v>
      </c>
      <c r="B79" s="321">
        <v>18</v>
      </c>
      <c r="C79" s="55">
        <f>B79*$B$64</f>
        <v>285.54761132643438</v>
      </c>
      <c r="D79" s="93"/>
      <c r="E79" s="93"/>
      <c r="F79" s="93"/>
    </row>
    <row r="80" spans="1:6" ht="13.5" customHeight="1" x14ac:dyDescent="0.15">
      <c r="B80" s="321">
        <v>20</v>
      </c>
      <c r="C80" s="55">
        <f>B80*$B$64</f>
        <v>317.27512369603824</v>
      </c>
    </row>
    <row r="81" spans="2:3" ht="13.5" customHeight="1" x14ac:dyDescent="0.15">
      <c r="B81" s="321">
        <v>22</v>
      </c>
      <c r="C81" s="55">
        <f>B81*$B$64</f>
        <v>349.00263606564204</v>
      </c>
    </row>
    <row r="82" spans="2:3" ht="13.5" customHeight="1" x14ac:dyDescent="0.15">
      <c r="B82" s="321">
        <v>24</v>
      </c>
      <c r="C82" s="55">
        <f>B82*$B$64</f>
        <v>380.73014843524584</v>
      </c>
    </row>
  </sheetData>
  <phoneticPr fontId="61" type="noConversion"/>
  <pageMargins left="0.75" right="0.75" top="1" bottom="1" header="0.511811023622047" footer="0.511811023622047"/>
  <pageSetup fitToHeight="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Q377"/>
  <sheetViews>
    <sheetView showGridLines="0" zoomScale="80" zoomScaleNormal="80" workbookViewId="0">
      <pane xSplit="1" ySplit="6" topLeftCell="B66" activePane="bottomRight" state="frozen"/>
      <selection pane="topRight" activeCell="B1" sqref="B1"/>
      <selection pane="bottomLeft" activeCell="A66" sqref="A66"/>
      <selection pane="bottomRight"/>
    </sheetView>
  </sheetViews>
  <sheetFormatPr baseColWidth="10" defaultColWidth="9.5" defaultRowHeight="14" x14ac:dyDescent="0.15"/>
  <cols>
    <col min="1" max="1" width="50" customWidth="1"/>
    <col min="2" max="9" width="14.1640625" customWidth="1"/>
    <col min="11" max="11" width="13" customWidth="1"/>
    <col min="12" max="12" width="98" customWidth="1"/>
  </cols>
  <sheetData>
    <row r="1" spans="1:14" ht="21.75" customHeight="1" x14ac:dyDescent="0.2">
      <c r="A1" s="68" t="s">
        <v>1464</v>
      </c>
      <c r="B1" s="68"/>
      <c r="C1" s="68"/>
      <c r="D1" s="68"/>
      <c r="E1" s="68"/>
      <c r="F1" s="68"/>
      <c r="G1" s="68"/>
      <c r="H1" s="68"/>
      <c r="I1" s="68"/>
      <c r="K1" s="68"/>
      <c r="L1" s="68"/>
    </row>
    <row r="2" spans="1:14" ht="15" customHeight="1" x14ac:dyDescent="0.15">
      <c r="A2" s="56" t="s">
        <v>646</v>
      </c>
    </row>
    <row r="3" spans="1:14" ht="15" customHeight="1" x14ac:dyDescent="0.15">
      <c r="A3" s="57" t="s">
        <v>647</v>
      </c>
    </row>
    <row r="4" spans="1:14" ht="15" customHeight="1" x14ac:dyDescent="0.15">
      <c r="A4" s="56" t="s">
        <v>215</v>
      </c>
      <c r="B4" s="322" t="s">
        <v>648</v>
      </c>
      <c r="C4" s="322" t="s">
        <v>649</v>
      </c>
      <c r="D4" s="322" t="s">
        <v>650</v>
      </c>
      <c r="E4" s="322" t="s">
        <v>651</v>
      </c>
      <c r="F4" s="322" t="s">
        <v>652</v>
      </c>
      <c r="G4" s="322" t="s">
        <v>653</v>
      </c>
      <c r="H4" s="322" t="s">
        <v>654</v>
      </c>
      <c r="I4" s="322" t="s">
        <v>655</v>
      </c>
      <c r="J4" s="322" t="s">
        <v>656</v>
      </c>
      <c r="K4" s="322" t="s">
        <v>657</v>
      </c>
    </row>
    <row r="5" spans="1:14" ht="15" customHeight="1" x14ac:dyDescent="0.15">
      <c r="A5" s="59" t="s">
        <v>668</v>
      </c>
      <c r="B5" s="59" t="s">
        <v>669</v>
      </c>
      <c r="C5" s="59" t="s">
        <v>670</v>
      </c>
      <c r="D5" s="59" t="s">
        <v>671</v>
      </c>
      <c r="E5" s="59" t="s">
        <v>672</v>
      </c>
      <c r="F5" s="59" t="s">
        <v>673</v>
      </c>
      <c r="G5" s="59" t="s">
        <v>674</v>
      </c>
      <c r="H5" s="59" t="s">
        <v>675</v>
      </c>
      <c r="I5" s="59" t="s">
        <v>676</v>
      </c>
      <c r="J5" s="59" t="s">
        <v>677</v>
      </c>
      <c r="K5" s="59" t="s">
        <v>678</v>
      </c>
      <c r="L5" s="59"/>
      <c r="M5" s="59" t="s">
        <v>1465</v>
      </c>
      <c r="N5" s="59" t="s">
        <v>1466</v>
      </c>
    </row>
    <row r="6" spans="1:14" ht="15" customHeight="1" x14ac:dyDescent="0.15">
      <c r="A6" s="56" t="s">
        <v>358</v>
      </c>
      <c r="B6" s="232" t="s">
        <v>359</v>
      </c>
      <c r="C6" s="232" t="s">
        <v>359</v>
      </c>
      <c r="D6" s="232" t="s">
        <v>359</v>
      </c>
      <c r="E6" s="232" t="s">
        <v>359</v>
      </c>
      <c r="F6" s="232" t="s">
        <v>359</v>
      </c>
      <c r="G6" s="232" t="s">
        <v>359</v>
      </c>
      <c r="H6" s="232" t="s">
        <v>359</v>
      </c>
      <c r="I6" s="232" t="s">
        <v>359</v>
      </c>
      <c r="J6" s="232" t="s">
        <v>359</v>
      </c>
      <c r="K6" s="232" t="s">
        <v>359</v>
      </c>
      <c r="N6" s="58" t="s">
        <v>1467</v>
      </c>
    </row>
    <row r="7" spans="1:14" ht="15" customHeight="1" x14ac:dyDescent="0.15">
      <c r="A7" s="56" t="s">
        <v>1468</v>
      </c>
      <c r="N7" s="58" t="s">
        <v>1469</v>
      </c>
    </row>
    <row r="8" spans="1:14" ht="15" customHeight="1" x14ac:dyDescent="0.15">
      <c r="A8" s="57" t="s">
        <v>135</v>
      </c>
      <c r="B8" s="323">
        <v>26044</v>
      </c>
      <c r="C8" s="323">
        <v>30040</v>
      </c>
      <c r="D8" s="323">
        <v>35082</v>
      </c>
      <c r="E8" s="323">
        <v>39331</v>
      </c>
      <c r="F8" s="323">
        <v>44062</v>
      </c>
      <c r="G8" s="323">
        <v>46743</v>
      </c>
      <c r="H8" s="323">
        <v>57006</v>
      </c>
      <c r="I8" s="323">
        <v>68127</v>
      </c>
      <c r="J8" s="323">
        <v>81615</v>
      </c>
      <c r="K8" s="323">
        <v>96221</v>
      </c>
      <c r="M8" s="322" t="s">
        <v>1470</v>
      </c>
      <c r="N8" s="58" t="s">
        <v>1471</v>
      </c>
    </row>
    <row r="9" spans="1:14" ht="15" customHeight="1" x14ac:dyDescent="0.15">
      <c r="A9" s="57" t="s">
        <v>926</v>
      </c>
      <c r="B9" s="323">
        <v>5638</v>
      </c>
      <c r="C9" s="323">
        <v>7466</v>
      </c>
      <c r="D9" s="323">
        <v>8926</v>
      </c>
      <c r="E9" s="323">
        <v>10608</v>
      </c>
      <c r="F9" s="323">
        <v>17394</v>
      </c>
      <c r="G9" s="323">
        <v>12890</v>
      </c>
      <c r="H9" s="323">
        <v>15157</v>
      </c>
      <c r="I9" s="323">
        <v>17034</v>
      </c>
      <c r="J9" s="323">
        <v>20458</v>
      </c>
      <c r="K9" s="323">
        <v>24079</v>
      </c>
      <c r="M9" s="322" t="s">
        <v>1470</v>
      </c>
      <c r="N9" s="58" t="s">
        <v>1472</v>
      </c>
    </row>
    <row r="10" spans="1:14" ht="15" customHeight="1" x14ac:dyDescent="0.15">
      <c r="A10" s="57" t="s">
        <v>136</v>
      </c>
      <c r="B10" s="323">
        <v>20406</v>
      </c>
      <c r="C10" s="323">
        <v>22574</v>
      </c>
      <c r="D10" s="323">
        <v>26156</v>
      </c>
      <c r="E10" s="323">
        <v>28723</v>
      </c>
      <c r="F10" s="323">
        <v>26668</v>
      </c>
      <c r="G10" s="323">
        <v>33853</v>
      </c>
      <c r="H10" s="323">
        <v>41849</v>
      </c>
      <c r="I10" s="323">
        <v>51093</v>
      </c>
      <c r="J10" s="323">
        <v>61157</v>
      </c>
      <c r="K10" s="323">
        <v>72142</v>
      </c>
      <c r="M10" s="322" t="s">
        <v>1470</v>
      </c>
      <c r="N10" s="58" t="s">
        <v>1471</v>
      </c>
    </row>
    <row r="11" spans="1:14" ht="15" customHeight="1" x14ac:dyDescent="0.15">
      <c r="A11" s="57" t="s">
        <v>1473</v>
      </c>
      <c r="B11" s="323">
        <v>2720</v>
      </c>
      <c r="C11" s="323">
        <v>3090</v>
      </c>
      <c r="D11" s="323">
        <v>3390</v>
      </c>
      <c r="E11" s="323">
        <v>3714</v>
      </c>
      <c r="F11" s="323">
        <v>3989</v>
      </c>
      <c r="G11" s="323">
        <v>4291</v>
      </c>
      <c r="H11" s="323">
        <v>4705</v>
      </c>
      <c r="I11" s="323">
        <v>5512</v>
      </c>
      <c r="J11" s="323">
        <v>6321</v>
      </c>
      <c r="K11" s="323">
        <v>7054</v>
      </c>
      <c r="M11" s="322" t="s">
        <v>1470</v>
      </c>
      <c r="N11" s="58" t="s">
        <v>1472</v>
      </c>
    </row>
    <row r="12" spans="1:14" ht="15" customHeight="1" x14ac:dyDescent="0.15">
      <c r="A12" s="57" t="s">
        <v>1474</v>
      </c>
      <c r="B12" s="323">
        <v>777</v>
      </c>
      <c r="C12" s="323">
        <v>842</v>
      </c>
      <c r="D12" s="323">
        <v>897</v>
      </c>
      <c r="E12" s="323">
        <v>975</v>
      </c>
      <c r="F12" s="323">
        <v>1041</v>
      </c>
      <c r="G12" s="323">
        <v>1122</v>
      </c>
      <c r="H12" s="323">
        <v>1134</v>
      </c>
      <c r="I12" s="323">
        <v>1282</v>
      </c>
      <c r="J12" s="323">
        <v>1300</v>
      </c>
      <c r="K12" s="323">
        <v>1354</v>
      </c>
      <c r="M12" s="322" t="s">
        <v>1470</v>
      </c>
      <c r="N12" s="58" t="s">
        <v>1472</v>
      </c>
    </row>
    <row r="13" spans="1:14" ht="15" customHeight="1" x14ac:dyDescent="0.15">
      <c r="A13" s="57" t="s">
        <v>1475</v>
      </c>
      <c r="B13" s="323">
        <v>0</v>
      </c>
      <c r="C13" s="323">
        <v>0</v>
      </c>
      <c r="D13" s="323">
        <v>0</v>
      </c>
      <c r="E13" s="323">
        <v>0</v>
      </c>
      <c r="F13" s="323">
        <v>0</v>
      </c>
      <c r="G13" s="323">
        <v>0</v>
      </c>
      <c r="H13" s="323">
        <v>0</v>
      </c>
      <c r="I13" s="323">
        <v>0</v>
      </c>
      <c r="J13" s="323">
        <v>0</v>
      </c>
      <c r="K13" s="323">
        <v>0</v>
      </c>
      <c r="M13" s="322" t="s">
        <v>1470</v>
      </c>
      <c r="N13" s="58" t="s">
        <v>1476</v>
      </c>
    </row>
    <row r="14" spans="1:14" ht="15" customHeight="1" x14ac:dyDescent="0.15">
      <c r="A14" s="57" t="s">
        <v>137</v>
      </c>
      <c r="B14" s="323">
        <v>16909</v>
      </c>
      <c r="C14" s="323">
        <v>18642</v>
      </c>
      <c r="D14" s="323">
        <v>21869</v>
      </c>
      <c r="E14" s="323">
        <v>24034</v>
      </c>
      <c r="F14" s="323">
        <v>21638</v>
      </c>
      <c r="G14" s="323">
        <v>28440</v>
      </c>
      <c r="H14" s="323">
        <v>36010</v>
      </c>
      <c r="I14" s="323">
        <v>44299</v>
      </c>
      <c r="J14" s="323">
        <v>53536</v>
      </c>
      <c r="K14" s="323">
        <v>63734</v>
      </c>
      <c r="M14" s="322" t="s">
        <v>1470</v>
      </c>
      <c r="N14" s="58" t="s">
        <v>1471</v>
      </c>
    </row>
    <row r="15" spans="1:14" ht="15" customHeight="1" x14ac:dyDescent="0.15">
      <c r="A15" s="57" t="s">
        <v>940</v>
      </c>
      <c r="B15" s="323">
        <v>359</v>
      </c>
      <c r="C15" s="323">
        <v>444</v>
      </c>
      <c r="D15" s="323">
        <v>472</v>
      </c>
      <c r="E15" s="323">
        <v>511</v>
      </c>
      <c r="F15" s="323">
        <v>515</v>
      </c>
      <c r="G15" s="323">
        <v>592</v>
      </c>
      <c r="H15" s="323">
        <v>624</v>
      </c>
      <c r="I15" s="323">
        <v>568</v>
      </c>
      <c r="J15" s="323">
        <v>540</v>
      </c>
      <c r="K15" s="323">
        <v>496</v>
      </c>
      <c r="M15" s="322" t="s">
        <v>1470</v>
      </c>
      <c r="N15" s="58" t="s">
        <v>1471</v>
      </c>
    </row>
    <row r="16" spans="1:14" ht="15" customHeight="1" x14ac:dyDescent="0.15">
      <c r="A16" s="57" t="s">
        <v>942</v>
      </c>
      <c r="B16" s="323">
        <v>64</v>
      </c>
      <c r="C16" s="323">
        <v>61</v>
      </c>
      <c r="D16" s="323">
        <v>61</v>
      </c>
      <c r="E16" s="323">
        <v>61</v>
      </c>
      <c r="F16" s="323">
        <v>63</v>
      </c>
      <c r="G16" s="323">
        <v>62</v>
      </c>
      <c r="H16" s="323">
        <v>61</v>
      </c>
      <c r="I16" s="323">
        <v>73</v>
      </c>
      <c r="J16" s="323">
        <v>102</v>
      </c>
      <c r="K16" s="323">
        <v>227</v>
      </c>
      <c r="M16" s="322" t="s">
        <v>1470</v>
      </c>
      <c r="N16" s="58" t="s">
        <v>1472</v>
      </c>
    </row>
    <row r="17" spans="1:14" ht="15" customHeight="1" x14ac:dyDescent="0.15">
      <c r="A17" s="57" t="s">
        <v>944</v>
      </c>
      <c r="B17" s="323">
        <v>75</v>
      </c>
      <c r="C17" s="323">
        <v>189</v>
      </c>
      <c r="D17" s="323">
        <v>36</v>
      </c>
      <c r="E17" s="323">
        <v>733</v>
      </c>
      <c r="F17" s="323">
        <v>-180</v>
      </c>
      <c r="G17" s="323">
        <v>2236</v>
      </c>
      <c r="H17" s="323">
        <v>1363</v>
      </c>
      <c r="I17" s="323">
        <v>5604</v>
      </c>
      <c r="J17" s="323">
        <v>15929</v>
      </c>
      <c r="K17" s="323">
        <v>7504</v>
      </c>
      <c r="M17" s="322" t="s">
        <v>1470</v>
      </c>
      <c r="N17" s="58" t="s">
        <v>1477</v>
      </c>
    </row>
    <row r="18" spans="1:14" ht="15" customHeight="1" x14ac:dyDescent="0.15">
      <c r="A18" s="57" t="s">
        <v>946</v>
      </c>
      <c r="B18" s="323">
        <v>17279</v>
      </c>
      <c r="C18" s="323">
        <v>19214</v>
      </c>
      <c r="D18" s="323">
        <v>22316</v>
      </c>
      <c r="E18" s="323">
        <v>25217</v>
      </c>
      <c r="F18" s="323">
        <v>21910</v>
      </c>
      <c r="G18" s="323">
        <v>31206</v>
      </c>
      <c r="H18" s="323">
        <v>37936</v>
      </c>
      <c r="I18" s="323">
        <v>50398</v>
      </c>
      <c r="J18" s="323">
        <v>69903</v>
      </c>
      <c r="K18" s="323">
        <v>71507</v>
      </c>
      <c r="M18" s="322" t="s">
        <v>1470</v>
      </c>
      <c r="N18" s="58" t="s">
        <v>1471</v>
      </c>
    </row>
    <row r="19" spans="1:14" ht="15" customHeight="1" x14ac:dyDescent="0.15">
      <c r="A19" s="57" t="s">
        <v>947</v>
      </c>
      <c r="B19" s="323">
        <v>2398</v>
      </c>
      <c r="C19" s="323">
        <v>2615</v>
      </c>
      <c r="D19" s="323">
        <v>3007</v>
      </c>
      <c r="E19" s="323">
        <v>3126</v>
      </c>
      <c r="F19" s="323">
        <v>3135</v>
      </c>
      <c r="G19" s="323">
        <v>4784</v>
      </c>
      <c r="H19" s="323">
        <v>6026</v>
      </c>
      <c r="I19" s="323">
        <v>7438</v>
      </c>
      <c r="J19" s="323">
        <v>11582</v>
      </c>
      <c r="K19" s="323">
        <v>11819</v>
      </c>
      <c r="M19" s="322" t="s">
        <v>1470</v>
      </c>
      <c r="N19" s="58" t="s">
        <v>1472</v>
      </c>
    </row>
    <row r="20" spans="1:14" ht="15" customHeight="1" x14ac:dyDescent="0.15">
      <c r="A20" s="57" t="s">
        <v>85</v>
      </c>
      <c r="B20" s="323">
        <v>14881</v>
      </c>
      <c r="C20" s="323">
        <v>16599</v>
      </c>
      <c r="D20" s="323">
        <v>19309</v>
      </c>
      <c r="E20" s="323">
        <v>22091</v>
      </c>
      <c r="F20" s="323">
        <v>18775</v>
      </c>
      <c r="G20" s="323">
        <v>26422</v>
      </c>
      <c r="H20" s="323">
        <v>31910</v>
      </c>
      <c r="I20" s="323">
        <v>42960</v>
      </c>
      <c r="J20" s="323">
        <v>58321</v>
      </c>
      <c r="K20" s="323">
        <v>59688</v>
      </c>
      <c r="M20" s="322" t="s">
        <v>1470</v>
      </c>
      <c r="N20" s="58" t="s">
        <v>1478</v>
      </c>
    </row>
    <row r="21" spans="1:14" ht="15" customHeight="1" x14ac:dyDescent="0.15">
      <c r="A21" s="57" t="s">
        <v>954</v>
      </c>
      <c r="B21" s="324">
        <v>24620</v>
      </c>
      <c r="C21" s="324">
        <v>24578</v>
      </c>
      <c r="D21" s="324">
        <v>24533</v>
      </c>
      <c r="E21" s="324">
        <v>24489</v>
      </c>
      <c r="F21" s="324">
        <v>24441</v>
      </c>
      <c r="G21" s="324">
        <v>24366</v>
      </c>
      <c r="H21" s="324">
        <v>24327</v>
      </c>
      <c r="I21" s="324">
        <v>24304</v>
      </c>
      <c r="J21" s="324">
        <v>24286</v>
      </c>
      <c r="K21" s="324">
        <v>24190</v>
      </c>
      <c r="M21" s="322" t="s">
        <v>1479</v>
      </c>
      <c r="N21" s="58" t="s">
        <v>1480</v>
      </c>
    </row>
    <row r="22" spans="1:14" ht="15" customHeight="1" x14ac:dyDescent="0.15">
      <c r="A22" s="57" t="s">
        <v>956</v>
      </c>
      <c r="B22" s="324">
        <v>24890</v>
      </c>
      <c r="C22" s="324">
        <v>24848</v>
      </c>
      <c r="D22" s="324">
        <v>24774</v>
      </c>
      <c r="E22" s="324">
        <v>24706</v>
      </c>
      <c r="F22" s="324">
        <v>24611</v>
      </c>
      <c r="G22" s="324">
        <v>24532</v>
      </c>
      <c r="H22" s="324">
        <v>24483</v>
      </c>
      <c r="I22" s="324">
        <v>24432</v>
      </c>
      <c r="J22" s="324">
        <v>24391</v>
      </c>
      <c r="K22" s="324">
        <v>24285</v>
      </c>
      <c r="M22" s="322" t="s">
        <v>1479</v>
      </c>
      <c r="N22" s="58" t="s">
        <v>1481</v>
      </c>
    </row>
    <row r="23" spans="1:14" ht="15" customHeight="1" x14ac:dyDescent="0.15">
      <c r="A23" s="57" t="s">
        <v>1482</v>
      </c>
      <c r="B23" s="325">
        <v>0.6</v>
      </c>
      <c r="C23" s="325">
        <v>0.68</v>
      </c>
      <c r="D23" s="325">
        <v>0.79</v>
      </c>
      <c r="E23" s="325">
        <v>0.9</v>
      </c>
      <c r="F23" s="325">
        <v>0.77</v>
      </c>
      <c r="G23" s="325">
        <v>1.08</v>
      </c>
      <c r="H23" s="325">
        <v>1.31</v>
      </c>
      <c r="I23" s="325">
        <v>1.77</v>
      </c>
      <c r="J23" s="325">
        <v>2.4</v>
      </c>
      <c r="K23" s="325">
        <v>2.4700000000000002</v>
      </c>
      <c r="M23" s="322" t="s">
        <v>1479</v>
      </c>
      <c r="N23" s="58" t="s">
        <v>1483</v>
      </c>
    </row>
    <row r="24" spans="1:14" ht="15" customHeight="1" x14ac:dyDescent="0.15">
      <c r="A24" s="57" t="s">
        <v>1484</v>
      </c>
      <c r="B24" s="325">
        <v>0.6</v>
      </c>
      <c r="C24" s="325">
        <v>0.67</v>
      </c>
      <c r="D24" s="325">
        <v>0.78</v>
      </c>
      <c r="E24" s="325">
        <v>0.89</v>
      </c>
      <c r="F24" s="325">
        <v>0.76</v>
      </c>
      <c r="G24" s="325">
        <v>1.08</v>
      </c>
      <c r="H24" s="325">
        <v>1.3</v>
      </c>
      <c r="I24" s="325">
        <v>1.76</v>
      </c>
      <c r="J24" s="325">
        <v>2.39</v>
      </c>
      <c r="K24" s="325">
        <v>2.46</v>
      </c>
      <c r="M24" s="322" t="s">
        <v>1479</v>
      </c>
      <c r="N24" s="58" t="s">
        <v>1485</v>
      </c>
    </row>
    <row r="25" spans="1:14" ht="15" customHeight="1" x14ac:dyDescent="0.15">
      <c r="A25" s="56" t="s">
        <v>1486</v>
      </c>
      <c r="N25" s="58" t="s">
        <v>1487</v>
      </c>
    </row>
    <row r="26" spans="1:14" ht="15" customHeight="1" x14ac:dyDescent="0.15">
      <c r="A26" s="57" t="s">
        <v>1010</v>
      </c>
      <c r="B26" s="323">
        <v>7587</v>
      </c>
      <c r="C26" s="323">
        <v>8563</v>
      </c>
      <c r="D26" s="323">
        <v>9107</v>
      </c>
      <c r="E26" s="323">
        <v>8589</v>
      </c>
      <c r="F26" s="323">
        <v>15234</v>
      </c>
      <c r="G26" s="323">
        <v>11639</v>
      </c>
      <c r="H26" s="323">
        <v>11486</v>
      </c>
      <c r="I26" s="323">
        <v>10605</v>
      </c>
      <c r="J26" s="323">
        <v>13237</v>
      </c>
      <c r="K26" s="323">
        <v>22443</v>
      </c>
      <c r="M26" s="322" t="s">
        <v>1470</v>
      </c>
      <c r="N26" s="58" t="s">
        <v>1488</v>
      </c>
    </row>
    <row r="27" spans="1:14" ht="15" customHeight="1" x14ac:dyDescent="0.15">
      <c r="A27" s="57" t="s">
        <v>1012</v>
      </c>
      <c r="B27" s="323">
        <v>23851</v>
      </c>
      <c r="C27" s="323">
        <v>26237</v>
      </c>
      <c r="D27" s="323">
        <v>29380</v>
      </c>
      <c r="E27" s="323">
        <v>34621</v>
      </c>
      <c r="F27" s="323">
        <v>38457</v>
      </c>
      <c r="G27" s="323">
        <v>45152</v>
      </c>
      <c r="H27" s="323">
        <v>49122</v>
      </c>
      <c r="I27" s="323">
        <v>51951</v>
      </c>
      <c r="J27" s="323">
        <v>67335</v>
      </c>
      <c r="K27" s="323">
        <v>76926</v>
      </c>
      <c r="M27" s="322" t="s">
        <v>1489</v>
      </c>
      <c r="N27" s="58" t="s">
        <v>1490</v>
      </c>
    </row>
    <row r="28" spans="1:14" ht="15" customHeight="1" x14ac:dyDescent="0.15">
      <c r="A28" s="57" t="s">
        <v>1014</v>
      </c>
      <c r="B28" s="323">
        <v>12365</v>
      </c>
      <c r="C28" s="323">
        <v>14132</v>
      </c>
      <c r="D28" s="323">
        <v>17693</v>
      </c>
      <c r="E28" s="323">
        <v>23065</v>
      </c>
      <c r="F28" s="323">
        <v>22132</v>
      </c>
      <c r="G28" s="323">
        <v>27808</v>
      </c>
      <c r="H28" s="323">
        <v>33391</v>
      </c>
      <c r="I28" s="323">
        <v>38466</v>
      </c>
      <c r="J28" s="323">
        <v>40710</v>
      </c>
      <c r="K28" s="323">
        <v>63059</v>
      </c>
      <c r="M28" s="322" t="s">
        <v>1470</v>
      </c>
      <c r="N28" s="58" t="s">
        <v>1488</v>
      </c>
    </row>
    <row r="29" spans="1:14" ht="15" customHeight="1" x14ac:dyDescent="0.15">
      <c r="A29" s="57" t="s">
        <v>1016</v>
      </c>
      <c r="B29" s="323">
        <v>5864</v>
      </c>
      <c r="C29" s="323">
        <v>6675</v>
      </c>
      <c r="D29" s="323">
        <v>7654</v>
      </c>
      <c r="E29" s="323">
        <v>10080</v>
      </c>
      <c r="F29" s="323">
        <v>11333</v>
      </c>
      <c r="G29" s="323">
        <v>14962</v>
      </c>
      <c r="H29" s="323">
        <v>19784</v>
      </c>
      <c r="I29" s="323">
        <v>21403</v>
      </c>
      <c r="J29" s="323">
        <v>25797</v>
      </c>
      <c r="K29" s="323">
        <v>31575</v>
      </c>
      <c r="M29" s="322" t="s">
        <v>1470</v>
      </c>
      <c r="N29" s="58" t="s">
        <v>1488</v>
      </c>
    </row>
    <row r="30" spans="1:14" ht="15" customHeight="1" x14ac:dyDescent="0.15">
      <c r="A30" s="57" t="s">
        <v>1018</v>
      </c>
      <c r="B30" s="323">
        <v>4062</v>
      </c>
      <c r="C30" s="323">
        <v>4026</v>
      </c>
      <c r="D30" s="323">
        <v>3806</v>
      </c>
      <c r="E30" s="323">
        <v>3771</v>
      </c>
      <c r="F30" s="323">
        <v>2779</v>
      </c>
      <c r="G30" s="323">
        <v>2658</v>
      </c>
      <c r="H30" s="323">
        <v>2709</v>
      </c>
      <c r="I30" s="323">
        <v>3180</v>
      </c>
      <c r="J30" s="323">
        <v>3916</v>
      </c>
      <c r="K30" s="323">
        <v>3409</v>
      </c>
      <c r="M30" s="322" t="s">
        <v>1470</v>
      </c>
      <c r="N30" s="58" t="s">
        <v>1488</v>
      </c>
    </row>
    <row r="31" spans="1:14" ht="15" customHeight="1" x14ac:dyDescent="0.15">
      <c r="A31" s="57" t="s">
        <v>1019</v>
      </c>
      <c r="B31" s="323">
        <v>53729</v>
      </c>
      <c r="C31" s="323">
        <v>59633</v>
      </c>
      <c r="D31" s="323">
        <v>67640</v>
      </c>
      <c r="E31" s="323">
        <v>80126</v>
      </c>
      <c r="F31" s="323">
        <v>89935</v>
      </c>
      <c r="G31" s="323">
        <v>102219</v>
      </c>
      <c r="H31" s="323">
        <v>116492</v>
      </c>
      <c r="I31" s="323">
        <v>125605</v>
      </c>
      <c r="J31" s="323">
        <v>150995</v>
      </c>
      <c r="K31" s="323">
        <v>197412</v>
      </c>
      <c r="M31" s="322" t="s">
        <v>1470</v>
      </c>
      <c r="N31" s="58" t="s">
        <v>1488</v>
      </c>
    </row>
    <row r="32" spans="1:14" ht="15" customHeight="1" x14ac:dyDescent="0.15">
      <c r="A32" s="57" t="s">
        <v>1020</v>
      </c>
      <c r="B32" s="323">
        <v>4006</v>
      </c>
      <c r="C32" s="323">
        <v>4885</v>
      </c>
      <c r="D32" s="323">
        <v>5343</v>
      </c>
      <c r="E32" s="323">
        <v>6283</v>
      </c>
      <c r="F32" s="323">
        <v>7136</v>
      </c>
      <c r="G32" s="323">
        <v>9141</v>
      </c>
      <c r="H32" s="323">
        <v>9780</v>
      </c>
      <c r="I32" s="323">
        <v>10383</v>
      </c>
      <c r="J32" s="323">
        <v>12403</v>
      </c>
      <c r="K32" s="323">
        <v>14285</v>
      </c>
      <c r="M32" s="322" t="s">
        <v>1470</v>
      </c>
      <c r="N32" s="58" t="s">
        <v>1488</v>
      </c>
    </row>
    <row r="33" spans="1:14" ht="15" customHeight="1" x14ac:dyDescent="0.15">
      <c r="A33" s="57" t="s">
        <v>1022</v>
      </c>
      <c r="B33" s="323">
        <v>1532</v>
      </c>
      <c r="C33" s="323">
        <v>1556</v>
      </c>
      <c r="D33" s="323">
        <v>1755</v>
      </c>
      <c r="E33" s="323">
        <v>1793</v>
      </c>
      <c r="F33" s="323">
        <v>1810</v>
      </c>
      <c r="G33" s="323">
        <v>2084</v>
      </c>
      <c r="H33" s="323">
        <v>2281</v>
      </c>
      <c r="I33" s="323">
        <v>2867</v>
      </c>
      <c r="J33" s="323">
        <v>4258</v>
      </c>
      <c r="K33" s="323">
        <v>5390</v>
      </c>
      <c r="M33" s="322" t="s">
        <v>1470</v>
      </c>
      <c r="N33" s="58" t="s">
        <v>1488</v>
      </c>
    </row>
    <row r="34" spans="1:14" ht="15" customHeight="1" x14ac:dyDescent="0.15">
      <c r="A34" s="57" t="s">
        <v>1024</v>
      </c>
      <c r="B34" s="323">
        <v>4453</v>
      </c>
      <c r="C34" s="323">
        <v>4622</v>
      </c>
      <c r="D34" s="323">
        <v>4724</v>
      </c>
      <c r="E34" s="323">
        <v>5188</v>
      </c>
      <c r="F34" s="323">
        <v>5498</v>
      </c>
      <c r="G34" s="323">
        <v>5755</v>
      </c>
      <c r="H34" s="323">
        <v>6261</v>
      </c>
      <c r="I34" s="323">
        <v>20832</v>
      </c>
      <c r="J34" s="323">
        <v>20894</v>
      </c>
      <c r="K34" s="323">
        <v>21125</v>
      </c>
      <c r="M34" s="322" t="s">
        <v>1470</v>
      </c>
      <c r="N34" s="58" t="s">
        <v>1488</v>
      </c>
    </row>
    <row r="35" spans="1:14" ht="15" customHeight="1" x14ac:dyDescent="0.15">
      <c r="A35" s="57" t="s">
        <v>1026</v>
      </c>
      <c r="B35" s="323">
        <v>986</v>
      </c>
      <c r="C35" s="323">
        <v>952</v>
      </c>
      <c r="D35" s="323">
        <v>838</v>
      </c>
      <c r="E35" s="323">
        <v>807</v>
      </c>
      <c r="F35" s="323">
        <v>769</v>
      </c>
      <c r="G35" s="323">
        <v>755</v>
      </c>
      <c r="H35" s="323">
        <v>936</v>
      </c>
      <c r="I35" s="323">
        <v>3306</v>
      </c>
      <c r="J35" s="323">
        <v>3120</v>
      </c>
      <c r="K35" s="323">
        <v>2998</v>
      </c>
      <c r="M35" s="322" t="s">
        <v>1470</v>
      </c>
      <c r="N35" s="58" t="s">
        <v>1488</v>
      </c>
    </row>
    <row r="36" spans="1:14" ht="15" customHeight="1" x14ac:dyDescent="0.15">
      <c r="A36" s="57" t="s">
        <v>1028</v>
      </c>
      <c r="B36" s="323">
        <v>7798</v>
      </c>
      <c r="C36" s="323">
        <v>9578</v>
      </c>
      <c r="D36" s="323">
        <v>10276</v>
      </c>
      <c r="E36" s="323">
        <v>10979</v>
      </c>
      <c r="F36" s="323">
        <v>13318</v>
      </c>
      <c r="G36" s="323">
        <v>13570</v>
      </c>
      <c r="H36" s="323">
        <v>13674</v>
      </c>
      <c r="I36" s="323">
        <v>13258</v>
      </c>
      <c r="J36" s="323">
        <v>11707</v>
      </c>
      <c r="K36" s="323">
        <v>12159</v>
      </c>
      <c r="M36" s="322" t="s">
        <v>1470</v>
      </c>
      <c r="N36" s="58" t="s">
        <v>1488</v>
      </c>
    </row>
    <row r="37" spans="1:14" ht="15" customHeight="1" x14ac:dyDescent="0.15">
      <c r="A37" s="57" t="s">
        <v>1030</v>
      </c>
      <c r="B37" s="323">
        <v>4568</v>
      </c>
      <c r="C37" s="323">
        <v>4001</v>
      </c>
      <c r="D37" s="323">
        <v>5437</v>
      </c>
      <c r="E37" s="323">
        <v>6425</v>
      </c>
      <c r="F37" s="323">
        <v>6788</v>
      </c>
      <c r="G37" s="323">
        <v>7216</v>
      </c>
      <c r="H37" s="323">
        <v>11724</v>
      </c>
      <c r="I37" s="323">
        <v>30552</v>
      </c>
      <c r="J37" s="323">
        <v>56097</v>
      </c>
      <c r="K37" s="323">
        <v>66903</v>
      </c>
      <c r="M37" s="322" t="s">
        <v>1491</v>
      </c>
      <c r="N37" s="58" t="s">
        <v>1492</v>
      </c>
    </row>
    <row r="38" spans="1:14" ht="15" customHeight="1" x14ac:dyDescent="0.15">
      <c r="A38" s="57" t="s">
        <v>1032</v>
      </c>
      <c r="B38" s="323">
        <v>77072</v>
      </c>
      <c r="C38" s="323">
        <v>85227</v>
      </c>
      <c r="D38" s="323">
        <v>96013</v>
      </c>
      <c r="E38" s="323">
        <v>111601</v>
      </c>
      <c r="F38" s="323">
        <v>125254</v>
      </c>
      <c r="G38" s="323">
        <v>140740</v>
      </c>
      <c r="H38" s="323">
        <v>161148</v>
      </c>
      <c r="I38" s="323">
        <v>206803</v>
      </c>
      <c r="J38" s="323">
        <v>259474</v>
      </c>
      <c r="K38" s="323">
        <v>320272</v>
      </c>
      <c r="M38" s="322" t="s">
        <v>1470</v>
      </c>
      <c r="N38" s="58" t="s">
        <v>1488</v>
      </c>
    </row>
    <row r="39" spans="1:14" ht="15" customHeight="1" x14ac:dyDescent="0.15">
      <c r="A39" s="57" t="s">
        <v>1033</v>
      </c>
      <c r="B39" s="323">
        <v>2715</v>
      </c>
      <c r="C39" s="323">
        <v>3680</v>
      </c>
      <c r="D39" s="323">
        <v>5353</v>
      </c>
      <c r="E39" s="323">
        <v>6310</v>
      </c>
      <c r="F39" s="323">
        <v>7331</v>
      </c>
      <c r="G39" s="323">
        <v>9064</v>
      </c>
      <c r="H39" s="323">
        <v>8624</v>
      </c>
      <c r="I39" s="323">
        <v>9812</v>
      </c>
      <c r="J39" s="323">
        <v>13097</v>
      </c>
      <c r="K39" s="323">
        <v>15059</v>
      </c>
      <c r="M39" s="322" t="s">
        <v>1470</v>
      </c>
      <c r="N39" s="58" t="s">
        <v>1488</v>
      </c>
    </row>
    <row r="40" spans="1:14" ht="15" customHeight="1" x14ac:dyDescent="0.15">
      <c r="A40" s="57" t="s">
        <v>1035</v>
      </c>
      <c r="B40" s="323">
        <v>11258</v>
      </c>
      <c r="C40" s="323">
        <v>10289</v>
      </c>
      <c r="D40" s="323">
        <v>11126</v>
      </c>
      <c r="E40" s="323">
        <v>11737</v>
      </c>
      <c r="F40" s="323">
        <v>19211</v>
      </c>
      <c r="G40" s="323">
        <v>15193</v>
      </c>
      <c r="H40" s="323">
        <v>16452</v>
      </c>
      <c r="I40" s="323">
        <v>21352</v>
      </c>
      <c r="J40" s="323">
        <v>29787</v>
      </c>
      <c r="K40" s="323">
        <v>26960</v>
      </c>
      <c r="M40" s="322" t="s">
        <v>1470</v>
      </c>
      <c r="N40" s="58" t="s">
        <v>1488</v>
      </c>
    </row>
    <row r="41" spans="1:14" ht="15" customHeight="1" x14ac:dyDescent="0.15">
      <c r="A41" s="57" t="s">
        <v>1036</v>
      </c>
      <c r="B41" s="323">
        <v>1250</v>
      </c>
      <c r="C41" s="323">
        <v>0</v>
      </c>
      <c r="D41" s="323">
        <v>0</v>
      </c>
      <c r="E41" s="323">
        <v>0</v>
      </c>
      <c r="F41" s="323">
        <v>0</v>
      </c>
      <c r="G41" s="323">
        <v>0</v>
      </c>
      <c r="H41" s="323">
        <v>999</v>
      </c>
      <c r="I41" s="323">
        <v>999</v>
      </c>
      <c r="J41" s="323">
        <v>1000</v>
      </c>
      <c r="K41" s="323">
        <v>1000</v>
      </c>
      <c r="M41" s="322" t="s">
        <v>1493</v>
      </c>
      <c r="N41" s="58" t="s">
        <v>1494</v>
      </c>
    </row>
    <row r="42" spans="1:14" ht="15" customHeight="1" x14ac:dyDescent="0.15">
      <c r="A42" s="57" t="s">
        <v>1038</v>
      </c>
      <c r="B42" s="323">
        <v>15223</v>
      </c>
      <c r="C42" s="323">
        <v>13969</v>
      </c>
      <c r="D42" s="323">
        <v>16479</v>
      </c>
      <c r="E42" s="323">
        <v>18047</v>
      </c>
      <c r="F42" s="323">
        <v>26542</v>
      </c>
      <c r="G42" s="323">
        <v>24257</v>
      </c>
      <c r="H42" s="323">
        <v>26075</v>
      </c>
      <c r="I42" s="323">
        <v>32163</v>
      </c>
      <c r="J42" s="323">
        <v>43884</v>
      </c>
      <c r="K42" s="323">
        <v>43019</v>
      </c>
      <c r="M42" s="322" t="s">
        <v>1470</v>
      </c>
      <c r="N42" s="58" t="s">
        <v>1488</v>
      </c>
    </row>
    <row r="43" spans="1:14" ht="15" customHeight="1" x14ac:dyDescent="0.15">
      <c r="A43" s="57" t="s">
        <v>1039</v>
      </c>
      <c r="B43" s="323">
        <v>8460</v>
      </c>
      <c r="C43" s="323">
        <v>8461</v>
      </c>
      <c r="D43" s="323">
        <v>8462</v>
      </c>
      <c r="E43" s="323">
        <v>8463</v>
      </c>
      <c r="F43" s="323">
        <v>8464</v>
      </c>
      <c r="G43" s="323">
        <v>8466</v>
      </c>
      <c r="H43" s="323">
        <v>7468</v>
      </c>
      <c r="I43" s="323">
        <v>7469</v>
      </c>
      <c r="J43" s="323">
        <v>7470</v>
      </c>
      <c r="K43" s="323">
        <v>32366</v>
      </c>
      <c r="M43" s="322" t="s">
        <v>1470</v>
      </c>
      <c r="N43" s="58" t="s">
        <v>1488</v>
      </c>
    </row>
    <row r="44" spans="1:14" ht="15" customHeight="1" x14ac:dyDescent="0.15">
      <c r="A44" s="57" t="s">
        <v>1041</v>
      </c>
      <c r="B44" s="323">
        <v>1281</v>
      </c>
      <c r="C44" s="323">
        <v>1304</v>
      </c>
      <c r="D44" s="323">
        <v>1490</v>
      </c>
      <c r="E44" s="323">
        <v>1519</v>
      </c>
      <c r="F44" s="323">
        <v>1521</v>
      </c>
      <c r="G44" s="323">
        <v>1831</v>
      </c>
      <c r="H44" s="323">
        <v>2014</v>
      </c>
      <c r="I44" s="323">
        <v>2572</v>
      </c>
      <c r="J44" s="323">
        <v>3878</v>
      </c>
      <c r="K44" s="323">
        <v>4985</v>
      </c>
      <c r="M44" s="322" t="s">
        <v>1470</v>
      </c>
      <c r="N44" s="58" t="s">
        <v>1488</v>
      </c>
    </row>
    <row r="45" spans="1:14" ht="15" customHeight="1" x14ac:dyDescent="0.15">
      <c r="A45" s="57" t="s">
        <v>1043</v>
      </c>
      <c r="B45" s="323">
        <v>2966</v>
      </c>
      <c r="C45" s="323">
        <v>3336</v>
      </c>
      <c r="D45" s="323">
        <v>3683</v>
      </c>
      <c r="E45" s="323">
        <v>4245</v>
      </c>
      <c r="F45" s="323">
        <v>4884</v>
      </c>
      <c r="G45" s="323">
        <v>6055</v>
      </c>
      <c r="H45" s="323">
        <v>6694</v>
      </c>
      <c r="I45" s="323">
        <v>7306</v>
      </c>
      <c r="J45" s="323">
        <v>8768</v>
      </c>
      <c r="K45" s="323">
        <v>10918</v>
      </c>
      <c r="M45" s="322" t="s">
        <v>1470</v>
      </c>
      <c r="N45" s="58" t="s">
        <v>1488</v>
      </c>
    </row>
    <row r="46" spans="1:14" ht="15" customHeight="1" x14ac:dyDescent="0.15">
      <c r="A46" s="57" t="s">
        <v>1044</v>
      </c>
      <c r="B46" s="323">
        <v>27930</v>
      </c>
      <c r="C46" s="323">
        <v>27070</v>
      </c>
      <c r="D46" s="323">
        <v>30114</v>
      </c>
      <c r="E46" s="323">
        <v>32274</v>
      </c>
      <c r="F46" s="323">
        <v>41411</v>
      </c>
      <c r="G46" s="323">
        <v>40609</v>
      </c>
      <c r="H46" s="323">
        <v>42251</v>
      </c>
      <c r="I46" s="323">
        <v>49510</v>
      </c>
      <c r="J46" s="323">
        <v>64000</v>
      </c>
      <c r="K46" s="323">
        <v>91288</v>
      </c>
      <c r="M46" s="322" t="s">
        <v>1470</v>
      </c>
      <c r="N46" s="58" t="s">
        <v>1488</v>
      </c>
    </row>
    <row r="47" spans="1:14" ht="15" customHeight="1" x14ac:dyDescent="0.15">
      <c r="A47" s="57" t="s">
        <v>1495</v>
      </c>
      <c r="B47" s="323">
        <v>2</v>
      </c>
      <c r="C47" s="323">
        <v>25</v>
      </c>
      <c r="D47" s="323">
        <v>25</v>
      </c>
      <c r="E47" s="323">
        <v>24</v>
      </c>
      <c r="F47" s="323">
        <v>24</v>
      </c>
      <c r="G47" s="323">
        <v>24</v>
      </c>
      <c r="H47" s="323">
        <v>24</v>
      </c>
      <c r="I47" s="323">
        <v>24</v>
      </c>
      <c r="J47" s="323">
        <v>24</v>
      </c>
      <c r="K47" s="323">
        <v>24</v>
      </c>
      <c r="M47" s="322" t="s">
        <v>1470</v>
      </c>
      <c r="N47" s="58" t="s">
        <v>1488</v>
      </c>
    </row>
    <row r="48" spans="1:14" ht="15" customHeight="1" x14ac:dyDescent="0.15">
      <c r="A48" s="57" t="s">
        <v>1496</v>
      </c>
      <c r="B48" s="323">
        <v>12651</v>
      </c>
      <c r="C48" s="323">
        <v>12115</v>
      </c>
      <c r="D48" s="323">
        <v>11821</v>
      </c>
      <c r="E48" s="323">
        <v>11237</v>
      </c>
      <c r="F48" s="323">
        <v>11475</v>
      </c>
      <c r="G48" s="323">
        <v>11200</v>
      </c>
      <c r="H48" s="323">
        <v>10626</v>
      </c>
      <c r="I48" s="323">
        <v>10118</v>
      </c>
      <c r="J48" s="323">
        <v>10275</v>
      </c>
      <c r="K48" s="323">
        <v>9828</v>
      </c>
      <c r="M48" s="322" t="s">
        <v>1470</v>
      </c>
      <c r="N48" s="58" t="s">
        <v>1488</v>
      </c>
    </row>
    <row r="49" spans="1:14" ht="15" customHeight="1" x14ac:dyDescent="0.15">
      <c r="A49" s="57" t="s">
        <v>1047</v>
      </c>
      <c r="B49" s="323">
        <v>36598</v>
      </c>
      <c r="C49" s="323">
        <v>45961</v>
      </c>
      <c r="D49" s="323">
        <v>53950</v>
      </c>
      <c r="E49" s="323">
        <v>68038</v>
      </c>
      <c r="F49" s="323">
        <v>72158</v>
      </c>
      <c r="G49" s="323">
        <v>88737</v>
      </c>
      <c r="H49" s="323">
        <v>107908</v>
      </c>
      <c r="I49" s="323">
        <v>146973</v>
      </c>
      <c r="J49" s="323">
        <v>185038</v>
      </c>
      <c r="K49" s="323">
        <v>219157</v>
      </c>
      <c r="M49" s="322" t="s">
        <v>1470</v>
      </c>
      <c r="N49" s="58" t="s">
        <v>1488</v>
      </c>
    </row>
    <row r="50" spans="1:14" ht="15" customHeight="1" x14ac:dyDescent="0.15">
      <c r="A50" s="57" t="s">
        <v>1049</v>
      </c>
      <c r="B50" s="323">
        <v>-109</v>
      </c>
      <c r="C50" s="323">
        <v>56</v>
      </c>
      <c r="D50" s="323">
        <v>103</v>
      </c>
      <c r="E50" s="323">
        <v>28</v>
      </c>
      <c r="F50" s="323">
        <v>186</v>
      </c>
      <c r="G50" s="323">
        <v>170</v>
      </c>
      <c r="H50" s="323">
        <v>339</v>
      </c>
      <c r="I50" s="323">
        <v>178</v>
      </c>
      <c r="J50" s="323">
        <v>137</v>
      </c>
      <c r="K50" s="323">
        <v>-25</v>
      </c>
      <c r="M50" s="322" t="s">
        <v>1470</v>
      </c>
      <c r="N50" s="58" t="s">
        <v>1488</v>
      </c>
    </row>
    <row r="51" spans="1:14" ht="15" customHeight="1" x14ac:dyDescent="0.15">
      <c r="A51" s="57" t="s">
        <v>1050</v>
      </c>
      <c r="B51" s="323">
        <v>49142</v>
      </c>
      <c r="C51" s="323">
        <v>58157</v>
      </c>
      <c r="D51" s="323">
        <v>65899</v>
      </c>
      <c r="E51" s="323">
        <v>79327</v>
      </c>
      <c r="F51" s="323">
        <v>83843</v>
      </c>
      <c r="G51" s="323">
        <v>100131</v>
      </c>
      <c r="H51" s="323">
        <v>118897</v>
      </c>
      <c r="I51" s="323">
        <v>157293</v>
      </c>
      <c r="J51" s="323">
        <v>195474</v>
      </c>
      <c r="K51" s="323">
        <v>228984</v>
      </c>
      <c r="M51" s="322" t="s">
        <v>1470</v>
      </c>
      <c r="N51" s="58" t="s">
        <v>1497</v>
      </c>
    </row>
    <row r="52" spans="1:14" ht="15" customHeight="1" x14ac:dyDescent="0.15">
      <c r="A52" s="57" t="s">
        <v>1498</v>
      </c>
      <c r="B52" s="323">
        <v>845</v>
      </c>
      <c r="C52" s="323">
        <v>948</v>
      </c>
      <c r="D52" s="323">
        <v>752</v>
      </c>
      <c r="E52" s="323">
        <v>837</v>
      </c>
      <c r="F52" s="323">
        <v>1074</v>
      </c>
      <c r="G52" s="323">
        <v>980</v>
      </c>
      <c r="H52" s="323">
        <v>1248</v>
      </c>
      <c r="I52" s="323">
        <v>1379</v>
      </c>
      <c r="J52" s="323">
        <v>1714</v>
      </c>
      <c r="K52" s="323">
        <v>4616</v>
      </c>
      <c r="M52" s="322" t="s">
        <v>1470</v>
      </c>
      <c r="N52" s="58" t="s">
        <v>1499</v>
      </c>
    </row>
    <row r="53" spans="1:14" ht="15" customHeight="1" x14ac:dyDescent="0.15">
      <c r="A53" s="56" t="s">
        <v>1500</v>
      </c>
      <c r="N53" s="58" t="s">
        <v>1501</v>
      </c>
    </row>
    <row r="54" spans="1:14" ht="15" customHeight="1" x14ac:dyDescent="0.15">
      <c r="A54" s="57" t="s">
        <v>85</v>
      </c>
      <c r="B54" s="323">
        <v>14881</v>
      </c>
      <c r="C54" s="323">
        <v>16599</v>
      </c>
      <c r="D54" s="323">
        <v>19309</v>
      </c>
      <c r="E54" s="323">
        <v>22091</v>
      </c>
      <c r="F54" s="323">
        <v>18775</v>
      </c>
      <c r="G54" s="323">
        <v>26422</v>
      </c>
      <c r="H54" s="323">
        <v>31910</v>
      </c>
      <c r="I54" s="323">
        <v>42960</v>
      </c>
      <c r="J54" s="323">
        <v>58321</v>
      </c>
      <c r="K54" s="323">
        <v>59688</v>
      </c>
      <c r="M54" s="322" t="s">
        <v>1470</v>
      </c>
      <c r="N54" s="58" t="s">
        <v>1502</v>
      </c>
    </row>
    <row r="55" spans="1:14" ht="15" customHeight="1" x14ac:dyDescent="0.15">
      <c r="A55" s="57" t="s">
        <v>1061</v>
      </c>
      <c r="B55" s="323">
        <v>410</v>
      </c>
      <c r="C55" s="323">
        <v>433</v>
      </c>
      <c r="D55" s="323">
        <v>478</v>
      </c>
      <c r="E55" s="323">
        <v>543</v>
      </c>
      <c r="F55" s="323">
        <v>611</v>
      </c>
      <c r="G55" s="323">
        <v>669</v>
      </c>
      <c r="H55" s="323">
        <v>751</v>
      </c>
      <c r="I55" s="323">
        <v>812</v>
      </c>
      <c r="J55" s="323">
        <v>997</v>
      </c>
      <c r="K55" s="323">
        <v>1127</v>
      </c>
      <c r="M55" s="322" t="s">
        <v>1470</v>
      </c>
      <c r="N55" s="58" t="s">
        <v>1503</v>
      </c>
    </row>
    <row r="56" spans="1:14" ht="15" customHeight="1" x14ac:dyDescent="0.15">
      <c r="A56" s="57" t="s">
        <v>1504</v>
      </c>
      <c r="B56" s="323">
        <v>1011</v>
      </c>
      <c r="C56" s="323">
        <v>1153</v>
      </c>
      <c r="D56" s="323">
        <v>1252</v>
      </c>
      <c r="E56" s="323">
        <v>1321</v>
      </c>
      <c r="F56" s="323">
        <v>1474</v>
      </c>
      <c r="G56" s="323">
        <v>1625</v>
      </c>
      <c r="H56" s="323">
        <v>1654</v>
      </c>
      <c r="I56" s="323">
        <v>1633</v>
      </c>
      <c r="J56" s="323">
        <v>1928</v>
      </c>
      <c r="K56" s="323">
        <v>2026</v>
      </c>
      <c r="M56" s="322" t="s">
        <v>1470</v>
      </c>
      <c r="N56" s="58" t="s">
        <v>1505</v>
      </c>
    </row>
    <row r="57" spans="1:14" ht="15" customHeight="1" x14ac:dyDescent="0.15">
      <c r="A57" s="57" t="s">
        <v>1072</v>
      </c>
      <c r="B57" s="323">
        <v>15345</v>
      </c>
      <c r="C57" s="323">
        <v>14488</v>
      </c>
      <c r="D57" s="323">
        <v>17627</v>
      </c>
      <c r="E57" s="323">
        <v>16629</v>
      </c>
      <c r="F57" s="323">
        <v>27414</v>
      </c>
      <c r="G57" s="323">
        <v>15365</v>
      </c>
      <c r="H57" s="323">
        <v>23751</v>
      </c>
      <c r="I57" s="323">
        <v>36188</v>
      </c>
      <c r="J57" s="323">
        <v>50344</v>
      </c>
      <c r="K57" s="323">
        <v>24077</v>
      </c>
      <c r="M57" s="322" t="s">
        <v>1470</v>
      </c>
      <c r="N57" s="58" t="s">
        <v>1506</v>
      </c>
    </row>
    <row r="58" spans="1:14" ht="15" customHeight="1" x14ac:dyDescent="0.15">
      <c r="A58" s="57" t="s">
        <v>1073</v>
      </c>
      <c r="B58" s="323">
        <v>369</v>
      </c>
      <c r="C58" s="323">
        <v>977</v>
      </c>
      <c r="D58" s="323">
        <v>813</v>
      </c>
      <c r="E58" s="323">
        <v>1077</v>
      </c>
      <c r="F58" s="323">
        <v>1227</v>
      </c>
      <c r="G58" s="323">
        <v>1895</v>
      </c>
      <c r="H58" s="323">
        <v>1636</v>
      </c>
      <c r="I58" s="323">
        <v>1284</v>
      </c>
      <c r="J58" s="323">
        <v>1757</v>
      </c>
      <c r="K58" s="323">
        <v>2677</v>
      </c>
      <c r="M58" s="322" t="s">
        <v>1470</v>
      </c>
      <c r="N58" s="58" t="s">
        <v>1507</v>
      </c>
    </row>
    <row r="59" spans="1:14" ht="15" customHeight="1" x14ac:dyDescent="0.15">
      <c r="A59" s="57" t="s">
        <v>1077</v>
      </c>
      <c r="B59" s="323">
        <v>-5693</v>
      </c>
      <c r="C59" s="323">
        <v>-3184</v>
      </c>
      <c r="D59" s="323">
        <v>-4346</v>
      </c>
      <c r="E59" s="323">
        <v>-7198</v>
      </c>
      <c r="F59" s="323">
        <v>-5216</v>
      </c>
      <c r="G59" s="323">
        <v>-7127</v>
      </c>
      <c r="H59" s="323">
        <v>-9024</v>
      </c>
      <c r="I59" s="323">
        <v>-30861</v>
      </c>
      <c r="J59" s="323">
        <v>-26429</v>
      </c>
      <c r="K59" s="323">
        <v>-8695</v>
      </c>
      <c r="M59" s="322" t="s">
        <v>1470</v>
      </c>
      <c r="N59" s="58" t="s">
        <v>1508</v>
      </c>
    </row>
    <row r="60" spans="1:14" ht="15" customHeight="1" x14ac:dyDescent="0.15">
      <c r="A60" s="57" t="s">
        <v>1078</v>
      </c>
      <c r="B60" s="323">
        <v>7740</v>
      </c>
      <c r="C60" s="323">
        <v>7158</v>
      </c>
      <c r="D60" s="323">
        <v>10997</v>
      </c>
      <c r="E60" s="323">
        <v>7811</v>
      </c>
      <c r="F60" s="323">
        <v>14095</v>
      </c>
      <c r="G60" s="323">
        <v>9720</v>
      </c>
      <c r="H60" s="323">
        <v>12456</v>
      </c>
      <c r="I60" s="323">
        <v>3815</v>
      </c>
      <c r="J60" s="323">
        <v>19312</v>
      </c>
      <c r="K60" s="323">
        <v>19732</v>
      </c>
      <c r="M60" s="322" t="s">
        <v>1470</v>
      </c>
      <c r="N60" s="58" t="s">
        <v>1509</v>
      </c>
    </row>
    <row r="61" spans="1:14" ht="15" customHeight="1" x14ac:dyDescent="0.15">
      <c r="A61" s="57" t="s">
        <v>1079</v>
      </c>
      <c r="B61" s="323">
        <v>1752</v>
      </c>
      <c r="C61" s="323">
        <v>1637</v>
      </c>
      <c r="D61" s="323">
        <v>1679</v>
      </c>
      <c r="E61" s="323">
        <v>1862</v>
      </c>
      <c r="F61" s="323">
        <v>1532</v>
      </c>
      <c r="G61" s="323">
        <v>1848</v>
      </c>
      <c r="H61" s="323">
        <v>2429</v>
      </c>
      <c r="I61" s="323">
        <v>2139</v>
      </c>
      <c r="J61" s="323">
        <v>2129</v>
      </c>
      <c r="K61" s="323">
        <v>2402</v>
      </c>
      <c r="M61" s="322" t="s">
        <v>1470</v>
      </c>
      <c r="N61" s="58" t="s">
        <v>1510</v>
      </c>
    </row>
    <row r="62" spans="1:14" ht="15" customHeight="1" x14ac:dyDescent="0.15">
      <c r="A62" s="57" t="s">
        <v>1511</v>
      </c>
      <c r="B62" s="323">
        <v>98</v>
      </c>
      <c r="C62" s="323">
        <v>246</v>
      </c>
      <c r="D62" s="323">
        <v>245</v>
      </c>
      <c r="E62" s="323">
        <v>245</v>
      </c>
      <c r="F62" s="323">
        <v>244</v>
      </c>
      <c r="G62" s="323">
        <v>244</v>
      </c>
      <c r="H62" s="323">
        <v>244</v>
      </c>
      <c r="I62" s="323">
        <v>242</v>
      </c>
      <c r="J62" s="323">
        <v>243</v>
      </c>
      <c r="K62" s="323">
        <v>6047</v>
      </c>
      <c r="M62" s="322" t="s">
        <v>1470</v>
      </c>
      <c r="N62" s="58" t="s">
        <v>1512</v>
      </c>
    </row>
    <row r="63" spans="1:14" ht="15" customHeight="1" x14ac:dyDescent="0.15">
      <c r="A63" s="57" t="s">
        <v>1083</v>
      </c>
      <c r="B63" s="323">
        <v>-9345</v>
      </c>
      <c r="C63" s="323">
        <v>-10320</v>
      </c>
      <c r="D63" s="323">
        <v>-12745</v>
      </c>
      <c r="E63" s="323">
        <v>-9949</v>
      </c>
      <c r="F63" s="323">
        <v>-15553</v>
      </c>
      <c r="G63" s="323">
        <v>-11833</v>
      </c>
      <c r="H63" s="323">
        <v>-14880</v>
      </c>
      <c r="I63" s="323">
        <v>-6208</v>
      </c>
      <c r="J63" s="323">
        <v>-21283</v>
      </c>
      <c r="K63" s="323">
        <v>-6176</v>
      </c>
      <c r="M63" s="322" t="s">
        <v>1470</v>
      </c>
      <c r="N63" s="58" t="s">
        <v>1513</v>
      </c>
    </row>
    <row r="64" spans="1:14" ht="15" customHeight="1" x14ac:dyDescent="0.15">
      <c r="A64" s="57" t="s">
        <v>1514</v>
      </c>
      <c r="B64" s="323">
        <v>307</v>
      </c>
      <c r="C64" s="323">
        <v>984</v>
      </c>
      <c r="D64" s="323">
        <v>536</v>
      </c>
      <c r="E64" s="323">
        <v>-518</v>
      </c>
      <c r="F64" s="323">
        <v>6645</v>
      </c>
      <c r="G64" s="323">
        <v>-3595</v>
      </c>
      <c r="H64" s="323">
        <v>-153</v>
      </c>
      <c r="I64" s="323">
        <v>-881</v>
      </c>
      <c r="J64" s="323">
        <v>2632</v>
      </c>
      <c r="K64" s="323">
        <v>9206</v>
      </c>
      <c r="M64" s="322" t="s">
        <v>1470</v>
      </c>
      <c r="N64" s="58" t="s">
        <v>1515</v>
      </c>
    </row>
    <row r="65" spans="1:14" ht="15" customHeight="1" x14ac:dyDescent="0.15">
      <c r="A65" s="57" t="s">
        <v>1516</v>
      </c>
      <c r="B65" s="323">
        <v>7587</v>
      </c>
      <c r="C65" s="323">
        <v>8563</v>
      </c>
      <c r="D65" s="323">
        <v>9107</v>
      </c>
      <c r="E65" s="323">
        <v>8589</v>
      </c>
      <c r="F65" s="323">
        <v>15234</v>
      </c>
      <c r="G65" s="323">
        <v>11639</v>
      </c>
      <c r="H65" s="323">
        <v>11486</v>
      </c>
      <c r="I65" s="323">
        <v>10605</v>
      </c>
      <c r="J65" s="323">
        <v>13237</v>
      </c>
      <c r="K65" s="323">
        <v>22443</v>
      </c>
      <c r="M65" s="322" t="s">
        <v>1470</v>
      </c>
      <c r="N65" s="58" t="s">
        <v>1517</v>
      </c>
    </row>
    <row r="66" spans="1:14" ht="15" customHeight="1" x14ac:dyDescent="0.15">
      <c r="A66" s="56" t="s">
        <v>1518</v>
      </c>
      <c r="N66" s="58" t="s">
        <v>1519</v>
      </c>
    </row>
    <row r="67" spans="1:14" ht="15" customHeight="1" x14ac:dyDescent="0.15">
      <c r="A67" s="57" t="s">
        <v>1520</v>
      </c>
      <c r="B67" s="323">
        <v>22563</v>
      </c>
      <c r="C67" s="323">
        <v>26272</v>
      </c>
      <c r="D67" s="323">
        <v>30771</v>
      </c>
      <c r="E67" s="323">
        <v>35580</v>
      </c>
      <c r="F67" s="323">
        <v>39112</v>
      </c>
      <c r="G67" s="323">
        <v>41096</v>
      </c>
      <c r="H67" s="323">
        <v>51215</v>
      </c>
      <c r="I67" s="323">
        <v>62314</v>
      </c>
      <c r="J67" s="323">
        <v>75246</v>
      </c>
      <c r="K67" s="323">
        <v>89023</v>
      </c>
      <c r="M67" s="322" t="s">
        <v>1521</v>
      </c>
      <c r="N67" s="58" t="s">
        <v>1522</v>
      </c>
    </row>
    <row r="68" spans="1:14" ht="15" customHeight="1" x14ac:dyDescent="0.15">
      <c r="A68" s="57" t="s">
        <v>1523</v>
      </c>
      <c r="B68" s="323">
        <v>2647</v>
      </c>
      <c r="C68" s="323">
        <v>2880</v>
      </c>
      <c r="D68" s="323">
        <v>3279</v>
      </c>
      <c r="E68" s="323">
        <v>2544</v>
      </c>
      <c r="F68" s="323">
        <v>3763</v>
      </c>
      <c r="G68" s="323">
        <v>4287</v>
      </c>
      <c r="H68" s="323">
        <v>4265</v>
      </c>
      <c r="I68" s="323">
        <v>3727</v>
      </c>
      <c r="J68" s="323">
        <v>6369</v>
      </c>
      <c r="K68" s="323">
        <v>7198</v>
      </c>
      <c r="M68" s="322" t="s">
        <v>1524</v>
      </c>
      <c r="N68" s="58" t="s">
        <v>1525</v>
      </c>
    </row>
    <row r="69" spans="1:14" ht="15" customHeight="1" x14ac:dyDescent="0.15">
      <c r="A69" s="57" t="s">
        <v>1526</v>
      </c>
      <c r="B69" s="323">
        <v>427</v>
      </c>
      <c r="C69" s="323">
        <v>454</v>
      </c>
      <c r="D69" s="323">
        <v>486</v>
      </c>
      <c r="E69" s="323">
        <v>511</v>
      </c>
      <c r="F69" s="323">
        <v>509</v>
      </c>
      <c r="G69" s="323">
        <v>601</v>
      </c>
      <c r="H69" s="323">
        <v>760</v>
      </c>
      <c r="I69" s="323">
        <v>1321</v>
      </c>
      <c r="J69" s="326"/>
      <c r="K69" s="326"/>
      <c r="M69" s="322" t="s">
        <v>1527</v>
      </c>
      <c r="N69" s="58" t="s">
        <v>1528</v>
      </c>
    </row>
    <row r="70" spans="1:14" ht="15" customHeight="1" x14ac:dyDescent="0.15">
      <c r="A70" s="57" t="s">
        <v>1529</v>
      </c>
      <c r="B70" s="323">
        <v>329</v>
      </c>
      <c r="C70" s="323">
        <v>346</v>
      </c>
      <c r="D70" s="323">
        <v>449</v>
      </c>
      <c r="E70" s="323">
        <v>570</v>
      </c>
      <c r="F70" s="323">
        <v>567</v>
      </c>
      <c r="G70" s="323">
        <v>586</v>
      </c>
      <c r="H70" s="323">
        <v>592</v>
      </c>
      <c r="I70" s="323">
        <v>604</v>
      </c>
      <c r="J70" s="326"/>
      <c r="K70" s="326"/>
      <c r="M70" s="322" t="s">
        <v>1527</v>
      </c>
      <c r="N70" s="58" t="s">
        <v>1528</v>
      </c>
    </row>
    <row r="71" spans="1:14" ht="15" customHeight="1" x14ac:dyDescent="0.15">
      <c r="A71" s="256" t="s">
        <v>1530</v>
      </c>
      <c r="B71" s="327">
        <v>78</v>
      </c>
      <c r="C71" s="327">
        <v>88</v>
      </c>
      <c r="D71" s="327">
        <v>97</v>
      </c>
      <c r="E71" s="327">
        <v>126</v>
      </c>
      <c r="F71" s="327">
        <v>111</v>
      </c>
      <c r="G71" s="327">
        <v>173</v>
      </c>
      <c r="H71" s="327">
        <v>174</v>
      </c>
      <c r="I71" s="327">
        <v>161</v>
      </c>
      <c r="J71" s="328"/>
      <c r="K71" s="328"/>
      <c r="M71" s="322" t="s">
        <v>1527</v>
      </c>
      <c r="N71" s="58" t="s">
        <v>1528</v>
      </c>
    </row>
    <row r="72" spans="1:14" ht="15" customHeight="1" x14ac:dyDescent="0.15">
      <c r="A72" s="57" t="s">
        <v>1531</v>
      </c>
      <c r="B72" s="323">
        <v>26044</v>
      </c>
      <c r="C72" s="323">
        <v>30040</v>
      </c>
      <c r="D72" s="323">
        <v>35082</v>
      </c>
      <c r="E72" s="323">
        <v>39331</v>
      </c>
      <c r="F72" s="323">
        <v>44062</v>
      </c>
      <c r="G72" s="323">
        <v>46743</v>
      </c>
      <c r="H72" s="323">
        <v>57006</v>
      </c>
      <c r="I72" s="323">
        <v>68127</v>
      </c>
      <c r="J72" s="323">
        <v>81615</v>
      </c>
      <c r="K72" s="323">
        <v>96221</v>
      </c>
      <c r="M72" s="322" t="s">
        <v>1521</v>
      </c>
      <c r="N72" s="58" t="s">
        <v>1532</v>
      </c>
    </row>
    <row r="73" spans="1:14" ht="15" customHeight="1" x14ac:dyDescent="0.15">
      <c r="A73" s="56" t="s">
        <v>1533</v>
      </c>
      <c r="N73" s="58" t="s">
        <v>1534</v>
      </c>
    </row>
    <row r="74" spans="1:14" ht="15" customHeight="1" x14ac:dyDescent="0.15">
      <c r="A74" s="57" t="s">
        <v>860</v>
      </c>
      <c r="B74" s="323">
        <v>22675</v>
      </c>
      <c r="C74" s="323">
        <v>26446</v>
      </c>
      <c r="D74" s="323">
        <v>31036</v>
      </c>
      <c r="E74" s="323">
        <v>36036</v>
      </c>
      <c r="F74" s="323">
        <v>39589</v>
      </c>
      <c r="G74" s="323">
        <v>41331</v>
      </c>
      <c r="H74" s="323">
        <v>50908</v>
      </c>
      <c r="I74" s="323">
        <v>61651</v>
      </c>
      <c r="J74" s="323">
        <v>74550</v>
      </c>
      <c r="K74" s="323">
        <v>88299</v>
      </c>
      <c r="M74" s="322" t="s">
        <v>1521</v>
      </c>
      <c r="N74" s="58" t="s">
        <v>1535</v>
      </c>
    </row>
    <row r="75" spans="1:14" ht="15" customHeight="1" x14ac:dyDescent="0.15">
      <c r="A75" s="57" t="s">
        <v>240</v>
      </c>
      <c r="B75" s="323">
        <v>3369</v>
      </c>
      <c r="C75" s="323">
        <v>3594</v>
      </c>
      <c r="D75" s="323">
        <v>4046</v>
      </c>
      <c r="E75" s="323">
        <v>3295</v>
      </c>
      <c r="F75" s="323">
        <v>4473</v>
      </c>
      <c r="G75" s="323">
        <v>5412</v>
      </c>
      <c r="H75" s="323">
        <v>6098</v>
      </c>
      <c r="I75" s="323">
        <v>6476</v>
      </c>
      <c r="J75" s="323">
        <v>7065</v>
      </c>
      <c r="K75" s="323">
        <v>7922</v>
      </c>
      <c r="M75" s="322" t="s">
        <v>1521</v>
      </c>
      <c r="N75" s="58" t="s">
        <v>1536</v>
      </c>
    </row>
    <row r="76" spans="1:14" ht="15" customHeight="1" x14ac:dyDescent="0.15">
      <c r="A76" s="256" t="s">
        <v>863</v>
      </c>
      <c r="B76" s="327">
        <v>0</v>
      </c>
      <c r="C76" s="327">
        <v>0</v>
      </c>
      <c r="D76" s="327">
        <v>0</v>
      </c>
      <c r="E76" s="327">
        <v>0</v>
      </c>
      <c r="F76" s="327">
        <v>0</v>
      </c>
      <c r="G76" s="327">
        <v>0</v>
      </c>
      <c r="H76" s="327">
        <v>0</v>
      </c>
      <c r="I76" s="327">
        <v>0</v>
      </c>
      <c r="J76" s="327">
        <v>0</v>
      </c>
      <c r="K76" s="327">
        <v>0</v>
      </c>
      <c r="M76" s="322" t="s">
        <v>1537</v>
      </c>
      <c r="N76" s="58" t="s">
        <v>1538</v>
      </c>
    </row>
    <row r="77" spans="1:14" ht="15" customHeight="1" x14ac:dyDescent="0.15">
      <c r="A77" s="57" t="s">
        <v>77</v>
      </c>
      <c r="B77" s="323">
        <v>26044</v>
      </c>
      <c r="C77" s="323">
        <v>30040</v>
      </c>
      <c r="D77" s="323">
        <v>35082</v>
      </c>
      <c r="E77" s="323">
        <v>39331</v>
      </c>
      <c r="F77" s="323">
        <v>44062</v>
      </c>
      <c r="G77" s="323">
        <v>46743</v>
      </c>
      <c r="H77" s="323">
        <v>57006</v>
      </c>
      <c r="I77" s="323">
        <v>68127</v>
      </c>
      <c r="J77" s="323">
        <v>81615</v>
      </c>
      <c r="K77" s="323">
        <v>96221</v>
      </c>
      <c r="M77" s="322" t="s">
        <v>1521</v>
      </c>
      <c r="N77" s="58" t="s">
        <v>1539</v>
      </c>
    </row>
    <row r="78" spans="1:14" ht="15" customHeight="1" x14ac:dyDescent="0.15">
      <c r="A78" s="57" t="s">
        <v>877</v>
      </c>
      <c r="B78" s="323">
        <v>17047</v>
      </c>
      <c r="C78" s="323">
        <v>18848</v>
      </c>
      <c r="D78" s="323">
        <v>22081</v>
      </c>
      <c r="E78" s="323">
        <v>24898</v>
      </c>
      <c r="F78" s="323">
        <v>22054</v>
      </c>
      <c r="G78" s="323">
        <v>28363</v>
      </c>
      <c r="H78" s="323">
        <v>35721</v>
      </c>
      <c r="I78" s="323">
        <v>44002</v>
      </c>
      <c r="J78" s="323">
        <v>53335</v>
      </c>
      <c r="K78" s="323">
        <v>62696</v>
      </c>
      <c r="M78" s="322" t="s">
        <v>1521</v>
      </c>
      <c r="N78" s="58" t="s">
        <v>1536</v>
      </c>
    </row>
    <row r="79" spans="1:14" ht="15" customHeight="1" x14ac:dyDescent="0.15">
      <c r="A79" s="57" t="s">
        <v>879</v>
      </c>
      <c r="B79" s="323">
        <v>1241</v>
      </c>
      <c r="C79" s="323">
        <v>1369</v>
      </c>
      <c r="D79" s="323">
        <v>1502</v>
      </c>
      <c r="E79" s="323">
        <v>974</v>
      </c>
      <c r="F79" s="323">
        <v>1640</v>
      </c>
      <c r="G79" s="323">
        <v>2242</v>
      </c>
      <c r="H79" s="323">
        <v>2546</v>
      </c>
      <c r="I79" s="323">
        <v>2728</v>
      </c>
      <c r="J79" s="323">
        <v>2941</v>
      </c>
      <c r="K79" s="323">
        <v>3899</v>
      </c>
      <c r="M79" s="322" t="s">
        <v>1521</v>
      </c>
      <c r="N79" s="58" t="s">
        <v>1536</v>
      </c>
    </row>
    <row r="80" spans="1:14" ht="15" customHeight="1" x14ac:dyDescent="0.15">
      <c r="A80" s="256" t="s">
        <v>881</v>
      </c>
      <c r="B80" s="327">
        <v>-1379</v>
      </c>
      <c r="C80" s="327">
        <v>-1575</v>
      </c>
      <c r="D80" s="327">
        <v>-1714</v>
      </c>
      <c r="E80" s="327">
        <v>-1838</v>
      </c>
      <c r="F80" s="327">
        <v>-2056</v>
      </c>
      <c r="G80" s="327">
        <v>-2165</v>
      </c>
      <c r="H80" s="327">
        <v>-2257</v>
      </c>
      <c r="I80" s="327">
        <v>-2431</v>
      </c>
      <c r="J80" s="327">
        <v>-2740</v>
      </c>
      <c r="K80" s="327">
        <v>-2861</v>
      </c>
      <c r="M80" s="322" t="s">
        <v>1537</v>
      </c>
      <c r="N80" s="58" t="s">
        <v>1540</v>
      </c>
    </row>
    <row r="81" spans="1:14" ht="15" customHeight="1" x14ac:dyDescent="0.15">
      <c r="A81" s="57" t="s">
        <v>883</v>
      </c>
      <c r="B81" s="323">
        <v>16909</v>
      </c>
      <c r="C81" s="323">
        <v>18642</v>
      </c>
      <c r="D81" s="323">
        <v>21869</v>
      </c>
      <c r="E81" s="323">
        <v>24034</v>
      </c>
      <c r="F81" s="323">
        <v>21638</v>
      </c>
      <c r="G81" s="323">
        <v>28440</v>
      </c>
      <c r="H81" s="323">
        <v>36010</v>
      </c>
      <c r="I81" s="323">
        <v>44299</v>
      </c>
      <c r="J81" s="323">
        <v>53536</v>
      </c>
      <c r="K81" s="323">
        <v>63734</v>
      </c>
      <c r="M81" s="322" t="s">
        <v>1521</v>
      </c>
      <c r="N81" s="58" t="s">
        <v>1541</v>
      </c>
    </row>
    <row r="82" spans="1:14" ht="15" customHeight="1" x14ac:dyDescent="0.15">
      <c r="A82" s="56" t="s">
        <v>1542</v>
      </c>
      <c r="N82" s="58" t="s">
        <v>1543</v>
      </c>
    </row>
    <row r="83" spans="1:14" ht="15" customHeight="1" x14ac:dyDescent="0.15">
      <c r="A83" s="57" t="s">
        <v>1544</v>
      </c>
      <c r="B83" s="323">
        <v>19392</v>
      </c>
      <c r="C83" s="323">
        <v>22604</v>
      </c>
      <c r="D83" s="323">
        <v>27644</v>
      </c>
      <c r="E83" s="323">
        <v>32556</v>
      </c>
      <c r="F83" s="323">
        <v>34155</v>
      </c>
      <c r="G83" s="323"/>
      <c r="H83" s="323">
        <v>43028</v>
      </c>
      <c r="I83" s="323">
        <v>51334</v>
      </c>
      <c r="J83" s="323">
        <v>60400</v>
      </c>
      <c r="K83" s="326"/>
      <c r="M83" s="322" t="s">
        <v>1545</v>
      </c>
      <c r="N83" s="58" t="s">
        <v>1546</v>
      </c>
    </row>
    <row r="84" spans="1:14" ht="15" customHeight="1" x14ac:dyDescent="0.15">
      <c r="A84" s="57" t="s">
        <v>1547</v>
      </c>
      <c r="B84" s="323">
        <v>3171</v>
      </c>
      <c r="C84" s="323">
        <v>3668</v>
      </c>
      <c r="D84" s="323">
        <v>3127</v>
      </c>
      <c r="E84" s="323">
        <v>3024</v>
      </c>
      <c r="F84" s="323">
        <v>4957</v>
      </c>
      <c r="G84" s="323"/>
      <c r="H84" s="323">
        <v>8187</v>
      </c>
      <c r="I84" s="323">
        <v>10980</v>
      </c>
      <c r="J84" s="323">
        <v>14800</v>
      </c>
      <c r="K84" s="329">
        <v>17464</v>
      </c>
      <c r="M84" s="322" t="s">
        <v>1545</v>
      </c>
      <c r="N84" s="58" t="s">
        <v>1548</v>
      </c>
    </row>
    <row r="85" spans="1:14" ht="15" customHeight="1" x14ac:dyDescent="0.15">
      <c r="A85" s="57" t="s">
        <v>1549</v>
      </c>
      <c r="B85" s="323">
        <v>146</v>
      </c>
      <c r="C85" s="323">
        <v>161</v>
      </c>
      <c r="D85" s="323">
        <v>187</v>
      </c>
      <c r="E85" s="326"/>
      <c r="F85" s="323">
        <v>296</v>
      </c>
      <c r="G85" s="323">
        <v>383</v>
      </c>
      <c r="H85" s="323">
        <v>439</v>
      </c>
      <c r="I85" s="326"/>
      <c r="J85" s="323">
        <v>526</v>
      </c>
      <c r="K85" s="323">
        <v>642</v>
      </c>
      <c r="M85" s="322" t="s">
        <v>1550</v>
      </c>
      <c r="N85" s="58" t="s">
        <v>1551</v>
      </c>
    </row>
    <row r="86" spans="1:14" ht="15" customHeight="1" x14ac:dyDescent="0.15">
      <c r="A86" s="57" t="s">
        <v>1552</v>
      </c>
      <c r="B86" s="323">
        <v>86</v>
      </c>
      <c r="C86" s="323">
        <v>86</v>
      </c>
      <c r="D86" s="323">
        <v>97</v>
      </c>
      <c r="E86" s="326"/>
      <c r="F86" s="323">
        <v>109</v>
      </c>
      <c r="G86" s="323">
        <v>148</v>
      </c>
      <c r="H86" s="323">
        <v>175</v>
      </c>
      <c r="I86" s="326"/>
      <c r="J86" s="323">
        <v>194</v>
      </c>
      <c r="K86" s="323">
        <v>204</v>
      </c>
      <c r="M86" s="322" t="s">
        <v>1550</v>
      </c>
      <c r="N86" s="58" t="s">
        <v>1553</v>
      </c>
    </row>
    <row r="87" spans="1:14" ht="15" customHeight="1" x14ac:dyDescent="0.15">
      <c r="A87" s="57" t="s">
        <v>1554</v>
      </c>
      <c r="B87" s="323">
        <v>5628</v>
      </c>
      <c r="C87" s="323">
        <v>7598</v>
      </c>
      <c r="D87" s="323">
        <v>8955</v>
      </c>
      <c r="E87" s="323">
        <v>11138</v>
      </c>
      <c r="F87" s="323">
        <v>17535</v>
      </c>
      <c r="G87" s="323">
        <v>12968</v>
      </c>
      <c r="H87" s="323">
        <v>15187</v>
      </c>
      <c r="I87" s="323">
        <v>17649</v>
      </c>
      <c r="J87" s="323">
        <v>21215</v>
      </c>
      <c r="K87" s="323">
        <v>25603</v>
      </c>
      <c r="M87" s="322" t="s">
        <v>1521</v>
      </c>
      <c r="N87" s="58" t="s">
        <v>1555</v>
      </c>
    </row>
    <row r="88" spans="1:14" ht="15" customHeight="1" x14ac:dyDescent="0.15">
      <c r="A88" s="57" t="s">
        <v>1556</v>
      </c>
      <c r="B88" s="323">
        <v>2128</v>
      </c>
      <c r="C88" s="323">
        <v>2225</v>
      </c>
      <c r="D88" s="323">
        <v>2544</v>
      </c>
      <c r="E88" s="323">
        <v>2321</v>
      </c>
      <c r="F88" s="323">
        <v>2833</v>
      </c>
      <c r="G88" s="323">
        <v>3170</v>
      </c>
      <c r="H88" s="323">
        <v>3552</v>
      </c>
      <c r="I88" s="323">
        <v>3748</v>
      </c>
      <c r="J88" s="323">
        <v>4124</v>
      </c>
      <c r="K88" s="323">
        <v>4023</v>
      </c>
      <c r="M88" s="322" t="s">
        <v>1521</v>
      </c>
      <c r="N88" s="58" t="s">
        <v>1555</v>
      </c>
    </row>
    <row r="89" spans="1:14" ht="15" customHeight="1" x14ac:dyDescent="0.15">
      <c r="A89" s="56" t="s">
        <v>1557</v>
      </c>
      <c r="N89" s="58" t="s">
        <v>1558</v>
      </c>
    </row>
    <row r="90" spans="1:14" ht="15" customHeight="1" x14ac:dyDescent="0.15">
      <c r="A90" s="57" t="s">
        <v>898</v>
      </c>
      <c r="B90" s="323">
        <v>-1011</v>
      </c>
      <c r="C90" s="323">
        <v>-1154</v>
      </c>
      <c r="D90" s="323">
        <v>-1252</v>
      </c>
      <c r="E90" s="323">
        <v>-1321</v>
      </c>
      <c r="F90" s="323">
        <v>-1474</v>
      </c>
      <c r="G90" s="323">
        <v>-1624</v>
      </c>
      <c r="H90" s="323">
        <v>-1655</v>
      </c>
      <c r="I90" s="323">
        <v>-1633</v>
      </c>
      <c r="J90" s="323">
        <v>-1928</v>
      </c>
      <c r="K90" s="323">
        <v>-2027</v>
      </c>
      <c r="M90" s="322" t="s">
        <v>1559</v>
      </c>
      <c r="N90" s="58" t="s">
        <v>1560</v>
      </c>
    </row>
    <row r="91" spans="1:14" ht="15" customHeight="1" x14ac:dyDescent="0.15">
      <c r="A91" s="57" t="s">
        <v>900</v>
      </c>
      <c r="B91" s="323">
        <v>-229</v>
      </c>
      <c r="C91" s="323">
        <v>-280</v>
      </c>
      <c r="D91" s="323">
        <v>-307</v>
      </c>
      <c r="E91" s="323">
        <v>-355</v>
      </c>
      <c r="F91" s="323">
        <v>-419</v>
      </c>
      <c r="G91" s="323">
        <v>-440</v>
      </c>
      <c r="H91" s="323">
        <v>-515</v>
      </c>
      <c r="I91" s="323">
        <v>-622</v>
      </c>
      <c r="J91" s="323">
        <v>-565</v>
      </c>
      <c r="K91" s="323">
        <v>-612</v>
      </c>
      <c r="M91" s="322" t="s">
        <v>1559</v>
      </c>
      <c r="N91" s="58" t="s">
        <v>1561</v>
      </c>
    </row>
    <row r="92" spans="1:14" ht="15" customHeight="1" x14ac:dyDescent="0.15">
      <c r="A92" s="57" t="s">
        <v>902</v>
      </c>
      <c r="B92" s="323">
        <v>-140</v>
      </c>
      <c r="C92" s="323">
        <v>-141</v>
      </c>
      <c r="D92" s="323">
        <v>-155</v>
      </c>
      <c r="E92" s="323">
        <v>-162</v>
      </c>
      <c r="F92" s="323">
        <v>-163</v>
      </c>
      <c r="G92" s="323">
        <v>-101</v>
      </c>
      <c r="H92" s="323">
        <v>-87</v>
      </c>
      <c r="I92" s="323">
        <v>-176</v>
      </c>
      <c r="J92" s="323">
        <v>-247</v>
      </c>
      <c r="K92" s="323">
        <v>-222</v>
      </c>
      <c r="M92" s="322" t="s">
        <v>1559</v>
      </c>
      <c r="N92" s="58" t="s">
        <v>1562</v>
      </c>
    </row>
    <row r="93" spans="1:14" ht="15" customHeight="1" x14ac:dyDescent="0.15">
      <c r="A93" s="57" t="s">
        <v>903</v>
      </c>
      <c r="B93" s="323">
        <v>0</v>
      </c>
      <c r="C93" s="323">
        <v>0</v>
      </c>
      <c r="D93" s="323">
        <v>0</v>
      </c>
      <c r="E93" s="323">
        <v>0</v>
      </c>
      <c r="F93" s="323">
        <v>0</v>
      </c>
      <c r="G93" s="323">
        <v>0</v>
      </c>
      <c r="H93" s="323">
        <v>0</v>
      </c>
      <c r="I93" s="323">
        <v>0</v>
      </c>
      <c r="J93" s="323">
        <v>0</v>
      </c>
      <c r="K93" s="323">
        <v>0</v>
      </c>
      <c r="M93" s="322" t="s">
        <v>1470</v>
      </c>
      <c r="N93" s="58" t="s">
        <v>1563</v>
      </c>
    </row>
    <row r="94" spans="1:14" ht="15" customHeight="1" x14ac:dyDescent="0.15">
      <c r="A94" s="256" t="s">
        <v>905</v>
      </c>
      <c r="B94" s="327">
        <v>1</v>
      </c>
      <c r="C94" s="327">
        <v>0</v>
      </c>
      <c r="D94" s="327">
        <v>0</v>
      </c>
      <c r="E94" s="327">
        <v>0</v>
      </c>
      <c r="F94" s="327">
        <v>0</v>
      </c>
      <c r="G94" s="327">
        <v>0</v>
      </c>
      <c r="H94" s="327">
        <v>0</v>
      </c>
      <c r="I94" s="327">
        <v>0</v>
      </c>
      <c r="J94" s="327">
        <v>0</v>
      </c>
      <c r="K94" s="327">
        <v>0</v>
      </c>
      <c r="M94" s="322" t="s">
        <v>1470</v>
      </c>
      <c r="N94" s="58" t="s">
        <v>1564</v>
      </c>
    </row>
    <row r="95" spans="1:14" ht="15" customHeight="1" x14ac:dyDescent="0.15">
      <c r="A95" s="57" t="s">
        <v>908</v>
      </c>
      <c r="B95" s="323">
        <v>-1379</v>
      </c>
      <c r="C95" s="323">
        <v>-1575</v>
      </c>
      <c r="D95" s="323">
        <v>-1714</v>
      </c>
      <c r="E95" s="323">
        <v>-1838</v>
      </c>
      <c r="F95" s="323">
        <v>-2056</v>
      </c>
      <c r="G95" s="323">
        <v>-2165</v>
      </c>
      <c r="H95" s="323">
        <v>-2257</v>
      </c>
      <c r="I95" s="323">
        <v>-2431</v>
      </c>
      <c r="J95" s="323">
        <v>-2740</v>
      </c>
      <c r="K95" s="323">
        <v>-2861</v>
      </c>
      <c r="M95" s="322" t="s">
        <v>1470</v>
      </c>
      <c r="N95" s="58" t="s">
        <v>1565</v>
      </c>
    </row>
    <row r="96" spans="1:14" ht="15" customHeight="1" x14ac:dyDescent="0.15">
      <c r="A96" s="56" t="s">
        <v>1566</v>
      </c>
      <c r="N96" s="58" t="s">
        <v>1567</v>
      </c>
    </row>
    <row r="97" spans="1:27" ht="15" customHeight="1" x14ac:dyDescent="0.15">
      <c r="A97" s="57" t="s">
        <v>1568</v>
      </c>
      <c r="M97" s="322" t="s">
        <v>1569</v>
      </c>
      <c r="N97" s="58" t="s">
        <v>1570</v>
      </c>
      <c r="Y97" s="330">
        <v>533702</v>
      </c>
    </row>
    <row r="98" spans="1:27" ht="15" customHeight="1" x14ac:dyDescent="0.15">
      <c r="A98" s="57" t="s">
        <v>1571</v>
      </c>
      <c r="M98" s="322" t="s">
        <v>1572</v>
      </c>
      <c r="N98" s="58" t="s">
        <v>1573</v>
      </c>
      <c r="Y98" s="330">
        <v>351926.22989999998</v>
      </c>
    </row>
    <row r="99" spans="1:27" ht="15" customHeight="1" x14ac:dyDescent="0.15">
      <c r="A99" s="57" t="s">
        <v>1574</v>
      </c>
      <c r="M99" s="322" t="s">
        <v>1569</v>
      </c>
      <c r="N99" s="58" t="s">
        <v>1575</v>
      </c>
      <c r="Y99" s="330">
        <v>294333</v>
      </c>
    </row>
    <row r="100" spans="1:27" ht="15" customHeight="1" x14ac:dyDescent="0.15">
      <c r="A100" s="57" t="s">
        <v>1576</v>
      </c>
      <c r="M100" s="322" t="s">
        <v>1569</v>
      </c>
      <c r="N100" s="58" t="s">
        <v>1577</v>
      </c>
      <c r="Z100" s="330">
        <v>813633</v>
      </c>
    </row>
    <row r="101" spans="1:27" ht="15" customHeight="1" x14ac:dyDescent="0.15">
      <c r="A101" s="57" t="s">
        <v>1578</v>
      </c>
      <c r="M101" s="322" t="s">
        <v>1579</v>
      </c>
      <c r="N101" s="58" t="s">
        <v>1580</v>
      </c>
      <c r="AA101" s="330">
        <v>1009400</v>
      </c>
    </row>
    <row r="102" spans="1:27" ht="15" customHeight="1" x14ac:dyDescent="0.15">
      <c r="A102" s="59" t="s">
        <v>1581</v>
      </c>
    </row>
    <row r="103" spans="1:27" ht="15" customHeight="1" x14ac:dyDescent="0.15">
      <c r="A103" s="57" t="s">
        <v>1582</v>
      </c>
      <c r="F103" s="323">
        <v>22260</v>
      </c>
      <c r="G103" s="323">
        <v>24168</v>
      </c>
      <c r="H103" s="323"/>
      <c r="I103" s="323"/>
      <c r="J103" s="323">
        <v>43050</v>
      </c>
      <c r="K103" s="323">
        <v>48710</v>
      </c>
      <c r="M103" s="322" t="s">
        <v>1583</v>
      </c>
      <c r="N103" s="58" t="s">
        <v>1584</v>
      </c>
    </row>
    <row r="104" spans="1:27" ht="15" customHeight="1" x14ac:dyDescent="0.15">
      <c r="A104" s="57" t="s">
        <v>1585</v>
      </c>
      <c r="F104" s="323">
        <v>16852</v>
      </c>
      <c r="G104" s="323">
        <v>16928</v>
      </c>
      <c r="H104" s="323"/>
      <c r="I104" s="323"/>
      <c r="J104" s="323">
        <v>32196</v>
      </c>
      <c r="K104" s="323">
        <v>40313</v>
      </c>
      <c r="M104" s="322" t="s">
        <v>1583</v>
      </c>
      <c r="N104" s="58" t="s">
        <v>1586</v>
      </c>
    </row>
    <row r="106" spans="1:27" ht="15" customHeight="1" x14ac:dyDescent="0.15">
      <c r="A106" s="56" t="s">
        <v>1587</v>
      </c>
      <c r="N106" s="58" t="s">
        <v>1588</v>
      </c>
    </row>
    <row r="107" spans="1:27" ht="15" customHeight="1" x14ac:dyDescent="0.15">
      <c r="A107" s="58" t="s">
        <v>1589</v>
      </c>
    </row>
    <row r="108" spans="1:27" ht="15" customHeight="1" x14ac:dyDescent="0.15">
      <c r="A108" s="56" t="s">
        <v>1590</v>
      </c>
    </row>
    <row r="109" spans="1:27" ht="15" customHeight="1" x14ac:dyDescent="0.15">
      <c r="A109" s="261" t="s">
        <v>668</v>
      </c>
      <c r="B109" s="261" t="s">
        <v>669</v>
      </c>
      <c r="C109" s="261" t="s">
        <v>670</v>
      </c>
      <c r="D109" s="261" t="s">
        <v>671</v>
      </c>
      <c r="E109" s="261" t="s">
        <v>672</v>
      </c>
      <c r="F109" s="261" t="s">
        <v>673</v>
      </c>
      <c r="G109" s="261" t="s">
        <v>674</v>
      </c>
      <c r="H109" s="261" t="s">
        <v>675</v>
      </c>
      <c r="I109" s="261" t="s">
        <v>676</v>
      </c>
      <c r="J109" s="261" t="s">
        <v>677</v>
      </c>
      <c r="K109" s="261" t="s">
        <v>678</v>
      </c>
      <c r="L109" s="58" t="s">
        <v>1591</v>
      </c>
      <c r="M109" s="261" t="s">
        <v>1465</v>
      </c>
      <c r="N109" s="261" t="s">
        <v>1466</v>
      </c>
      <c r="P109" s="261" t="s">
        <v>1592</v>
      </c>
      <c r="Q109" s="261" t="s">
        <v>687</v>
      </c>
      <c r="R109" s="261" t="s">
        <v>549</v>
      </c>
      <c r="Y109" s="261" t="s">
        <v>236</v>
      </c>
      <c r="Z109" s="261" t="s">
        <v>237</v>
      </c>
      <c r="AA109" s="261" t="s">
        <v>238</v>
      </c>
    </row>
    <row r="110" spans="1:27" ht="15" customHeight="1" x14ac:dyDescent="0.15">
      <c r="A110" s="57" t="s">
        <v>1593</v>
      </c>
      <c r="F110" s="323">
        <v>123</v>
      </c>
      <c r="G110" s="323">
        <v>49</v>
      </c>
      <c r="I110" s="323">
        <v>48</v>
      </c>
      <c r="J110" s="323">
        <v>47</v>
      </c>
      <c r="K110" s="323">
        <v>46</v>
      </c>
      <c r="M110" s="322" t="s">
        <v>1594</v>
      </c>
      <c r="N110" s="58" t="s">
        <v>1595</v>
      </c>
    </row>
    <row r="111" spans="1:27" ht="15" customHeight="1" x14ac:dyDescent="0.15">
      <c r="A111" s="57" t="s">
        <v>1596</v>
      </c>
      <c r="F111" s="323">
        <v>3</v>
      </c>
      <c r="I111" s="323">
        <v>-1</v>
      </c>
      <c r="J111" s="323">
        <v>28</v>
      </c>
      <c r="M111" s="322" t="s">
        <v>1594</v>
      </c>
      <c r="N111" s="58" t="s">
        <v>1597</v>
      </c>
    </row>
    <row r="112" spans="1:27" ht="15" customHeight="1" x14ac:dyDescent="0.15">
      <c r="A112" s="57" t="s">
        <v>1598</v>
      </c>
      <c r="F112" s="77">
        <v>126</v>
      </c>
      <c r="G112" s="77">
        <v>49</v>
      </c>
      <c r="I112" s="77">
        <v>47</v>
      </c>
      <c r="J112" s="77">
        <v>75</v>
      </c>
      <c r="K112" s="77">
        <v>46</v>
      </c>
      <c r="M112" s="322" t="s">
        <v>1594</v>
      </c>
      <c r="N112" s="58" t="s">
        <v>1599</v>
      </c>
    </row>
    <row r="113" spans="1:14" ht="15" customHeight="1" x14ac:dyDescent="0.15">
      <c r="A113" s="57" t="s">
        <v>1600</v>
      </c>
      <c r="F113" s="77">
        <v>37</v>
      </c>
      <c r="G113" s="77">
        <v>52</v>
      </c>
      <c r="I113" s="77">
        <v>128</v>
      </c>
      <c r="J113" s="77">
        <v>172</v>
      </c>
      <c r="K113" s="77">
        <v>176</v>
      </c>
      <c r="M113" s="322" t="s">
        <v>1594</v>
      </c>
      <c r="N113" s="58" t="s">
        <v>1601</v>
      </c>
    </row>
    <row r="114" spans="1:14" ht="15" customHeight="1" x14ac:dyDescent="0.15">
      <c r="A114" s="57" t="s">
        <v>994</v>
      </c>
      <c r="F114" s="323">
        <v>175</v>
      </c>
      <c r="G114" s="323">
        <v>-2247</v>
      </c>
      <c r="I114" s="323">
        <v>-5491</v>
      </c>
      <c r="J114" s="323">
        <v>-15936</v>
      </c>
      <c r="K114" s="323">
        <v>-7771</v>
      </c>
      <c r="M114" s="322" t="s">
        <v>1594</v>
      </c>
      <c r="N114" s="58" t="s">
        <v>1602</v>
      </c>
    </row>
    <row r="115" spans="1:14" ht="15" customHeight="1" x14ac:dyDescent="0.15">
      <c r="A115" s="57" t="s">
        <v>1603</v>
      </c>
      <c r="F115" s="323">
        <v>1</v>
      </c>
      <c r="G115" s="323">
        <v>1</v>
      </c>
      <c r="I115" s="323">
        <v>13</v>
      </c>
      <c r="J115" s="323">
        <v>26</v>
      </c>
      <c r="K115" s="323">
        <v>298</v>
      </c>
      <c r="M115" s="322" t="s">
        <v>1594</v>
      </c>
      <c r="N115" s="58" t="s">
        <v>1604</v>
      </c>
    </row>
    <row r="116" spans="1:14" ht="15" customHeight="1" x14ac:dyDescent="0.15">
      <c r="A116" s="57" t="s">
        <v>1605</v>
      </c>
      <c r="F116" s="323">
        <v>-20</v>
      </c>
      <c r="G116" s="323">
        <v>438</v>
      </c>
      <c r="I116" s="323">
        <v>1312</v>
      </c>
      <c r="J116" s="323">
        <v>2890</v>
      </c>
      <c r="K116" s="323">
        <v>1517</v>
      </c>
      <c r="M116" s="322" t="s">
        <v>1594</v>
      </c>
      <c r="N116" s="58" t="s">
        <v>1606</v>
      </c>
    </row>
    <row r="117" spans="1:14" ht="15" customHeight="1" x14ac:dyDescent="0.15">
      <c r="A117" s="57" t="s">
        <v>1607</v>
      </c>
      <c r="G117" s="77">
        <v>48</v>
      </c>
      <c r="M117" s="322" t="s">
        <v>1594</v>
      </c>
      <c r="N117" s="58" t="s">
        <v>1608</v>
      </c>
    </row>
    <row r="118" spans="1:14" ht="15" customHeight="1" x14ac:dyDescent="0.15">
      <c r="A118" s="57" t="s">
        <v>1609</v>
      </c>
      <c r="F118" s="77">
        <v>-20</v>
      </c>
      <c r="G118" s="77">
        <v>486</v>
      </c>
      <c r="I118" s="77">
        <v>1312</v>
      </c>
      <c r="J118" s="77">
        <v>2890</v>
      </c>
      <c r="K118" s="77">
        <v>1517</v>
      </c>
      <c r="M118" s="322" t="s">
        <v>1594</v>
      </c>
      <c r="N118" s="58" t="s">
        <v>1610</v>
      </c>
    </row>
    <row r="119" spans="1:14" ht="15" customHeight="1" x14ac:dyDescent="0.15">
      <c r="A119" s="57" t="s">
        <v>1611</v>
      </c>
      <c r="F119" s="323">
        <v>26794</v>
      </c>
      <c r="G119" s="323">
        <v>33902</v>
      </c>
      <c r="I119" s="323">
        <v>51140</v>
      </c>
      <c r="J119" s="323">
        <v>61232</v>
      </c>
      <c r="K119" s="323">
        <v>72188</v>
      </c>
      <c r="M119" s="322" t="s">
        <v>1594</v>
      </c>
      <c r="N119" s="58" t="s">
        <v>1612</v>
      </c>
    </row>
    <row r="120" spans="1:14" ht="15" customHeight="1" x14ac:dyDescent="0.15">
      <c r="A120" s="57" t="s">
        <v>1613</v>
      </c>
      <c r="F120" s="331">
        <v>0.60799999999999998</v>
      </c>
      <c r="G120" s="331">
        <v>0.72499999999999998</v>
      </c>
      <c r="I120" s="331">
        <v>0.751</v>
      </c>
      <c r="J120" s="331">
        <v>0.75</v>
      </c>
      <c r="K120" s="331">
        <v>0.75</v>
      </c>
      <c r="M120" s="322" t="s">
        <v>1594</v>
      </c>
      <c r="N120" s="58" t="s">
        <v>1614</v>
      </c>
    </row>
    <row r="121" spans="1:14" ht="15" customHeight="1" x14ac:dyDescent="0.15">
      <c r="A121" s="57" t="s">
        <v>1615</v>
      </c>
      <c r="F121" s="323">
        <v>4993</v>
      </c>
      <c r="G121" s="323">
        <v>5361</v>
      </c>
      <c r="I121" s="323">
        <v>6666</v>
      </c>
      <c r="J121" s="323">
        <v>7449</v>
      </c>
      <c r="K121" s="323">
        <v>8232</v>
      </c>
      <c r="M121" s="322" t="s">
        <v>1594</v>
      </c>
      <c r="N121" s="58" t="s">
        <v>1616</v>
      </c>
    </row>
    <row r="122" spans="1:14" ht="15" customHeight="1" x14ac:dyDescent="0.15">
      <c r="A122" s="57" t="s">
        <v>1617</v>
      </c>
      <c r="F122" s="323">
        <v>21801</v>
      </c>
      <c r="G122" s="323">
        <v>28541</v>
      </c>
      <c r="I122" s="323">
        <v>44474</v>
      </c>
      <c r="J122" s="323">
        <v>53783</v>
      </c>
      <c r="K122" s="323">
        <v>63956</v>
      </c>
      <c r="M122" s="322" t="s">
        <v>1594</v>
      </c>
      <c r="N122" s="58" t="s">
        <v>1618</v>
      </c>
    </row>
    <row r="123" spans="1:14" ht="15" customHeight="1" x14ac:dyDescent="0.15">
      <c r="A123" s="57" t="s">
        <v>1619</v>
      </c>
      <c r="F123" s="323">
        <v>448</v>
      </c>
      <c r="G123" s="323">
        <v>520</v>
      </c>
      <c r="I123" s="323">
        <v>620</v>
      </c>
      <c r="J123" s="323">
        <v>457</v>
      </c>
      <c r="K123" s="323">
        <v>300</v>
      </c>
      <c r="M123" s="322" t="s">
        <v>1594</v>
      </c>
      <c r="N123" s="58" t="s">
        <v>1606</v>
      </c>
    </row>
    <row r="124" spans="1:14" ht="15" customHeight="1" x14ac:dyDescent="0.15">
      <c r="A124" s="57" t="s">
        <v>1620</v>
      </c>
      <c r="F124" s="323">
        <v>19094</v>
      </c>
      <c r="G124" s="323">
        <v>24763</v>
      </c>
      <c r="I124" s="323">
        <v>38969</v>
      </c>
      <c r="J124" s="323">
        <v>45548</v>
      </c>
      <c r="K124" s="323">
        <v>53954</v>
      </c>
      <c r="M124" s="322" t="s">
        <v>1594</v>
      </c>
      <c r="N124" s="58" t="s">
        <v>1621</v>
      </c>
    </row>
    <row r="125" spans="1:14" ht="15" customHeight="1" x14ac:dyDescent="0.15">
      <c r="A125" s="57" t="s">
        <v>1622</v>
      </c>
      <c r="F125" s="325">
        <v>0.78</v>
      </c>
      <c r="G125" s="325">
        <v>1.01</v>
      </c>
      <c r="I125" s="325">
        <v>1.59</v>
      </c>
      <c r="J125" s="325">
        <v>1.87</v>
      </c>
      <c r="K125" s="325">
        <v>2.2200000000000002</v>
      </c>
      <c r="M125" s="322" t="s">
        <v>1594</v>
      </c>
      <c r="N125" s="58" t="s">
        <v>1623</v>
      </c>
    </row>
    <row r="126" spans="1:14" ht="15" customHeight="1" x14ac:dyDescent="0.15">
      <c r="A126" s="57" t="s">
        <v>1624</v>
      </c>
      <c r="F126" s="323">
        <v>27414</v>
      </c>
      <c r="G126" s="323">
        <v>15365</v>
      </c>
      <c r="I126" s="323">
        <v>36190</v>
      </c>
      <c r="J126" s="323">
        <v>50344</v>
      </c>
      <c r="K126" s="323">
        <v>24077</v>
      </c>
      <c r="M126" s="322" t="s">
        <v>1594</v>
      </c>
      <c r="N126" s="58" t="s">
        <v>1625</v>
      </c>
    </row>
    <row r="127" spans="1:14" ht="15" customHeight="1" x14ac:dyDescent="0.15">
      <c r="A127" s="57" t="s">
        <v>1626</v>
      </c>
      <c r="F127" s="323">
        <v>-1227</v>
      </c>
      <c r="G127" s="323">
        <v>-1894</v>
      </c>
      <c r="I127" s="323">
        <v>-1284</v>
      </c>
      <c r="J127" s="323">
        <v>-1757</v>
      </c>
      <c r="K127" s="323">
        <v>-2677</v>
      </c>
      <c r="M127" s="322" t="s">
        <v>1594</v>
      </c>
      <c r="N127" s="58" t="s">
        <v>1627</v>
      </c>
    </row>
    <row r="128" spans="1:14" ht="15" customHeight="1" x14ac:dyDescent="0.15">
      <c r="A128" s="57" t="s">
        <v>1628</v>
      </c>
      <c r="F128" s="323">
        <v>-52</v>
      </c>
      <c r="G128" s="323">
        <v>-21</v>
      </c>
      <c r="I128" s="323">
        <v>-4</v>
      </c>
      <c r="J128" s="323">
        <v>-33</v>
      </c>
      <c r="K128" s="323">
        <v>-59</v>
      </c>
      <c r="M128" s="322" t="s">
        <v>1594</v>
      </c>
      <c r="N128" s="58" t="s">
        <v>1629</v>
      </c>
    </row>
    <row r="129" spans="1:18" ht="15" customHeight="1" x14ac:dyDescent="0.15">
      <c r="A129" s="56" t="s">
        <v>1630</v>
      </c>
      <c r="F129" s="332">
        <v>26135</v>
      </c>
      <c r="G129" s="332">
        <v>13450</v>
      </c>
      <c r="I129" s="332">
        <v>34902</v>
      </c>
      <c r="J129" s="332">
        <v>48554</v>
      </c>
      <c r="K129" s="332">
        <v>21341</v>
      </c>
      <c r="M129" s="322" t="s">
        <v>1594</v>
      </c>
      <c r="N129" s="58" t="s">
        <v>1631</v>
      </c>
    </row>
    <row r="130" spans="1:18" ht="15" customHeight="1" x14ac:dyDescent="0.15">
      <c r="A130" s="56" t="s">
        <v>1632</v>
      </c>
    </row>
    <row r="131" spans="1:18" ht="15" customHeight="1" x14ac:dyDescent="0.15">
      <c r="A131" s="57" t="s">
        <v>1633</v>
      </c>
      <c r="D131" s="323">
        <v>50</v>
      </c>
      <c r="E131" s="323">
        <v>53</v>
      </c>
      <c r="F131" s="323">
        <v>64</v>
      </c>
      <c r="G131" s="323">
        <v>58</v>
      </c>
      <c r="H131" s="323">
        <v>70</v>
      </c>
      <c r="I131" s="323">
        <v>69</v>
      </c>
      <c r="M131" s="322" t="s">
        <v>1634</v>
      </c>
      <c r="N131" s="58" t="s">
        <v>1635</v>
      </c>
      <c r="P131" s="323">
        <v>141</v>
      </c>
      <c r="Q131" s="323">
        <v>178</v>
      </c>
      <c r="R131" s="323">
        <v>261</v>
      </c>
    </row>
    <row r="132" spans="1:18" ht="15" customHeight="1" x14ac:dyDescent="0.15">
      <c r="A132" s="57" t="s">
        <v>1593</v>
      </c>
      <c r="D132" s="323">
        <v>116</v>
      </c>
      <c r="E132" s="323">
        <v>118</v>
      </c>
      <c r="F132" s="323">
        <v>123</v>
      </c>
      <c r="G132" s="323">
        <v>49</v>
      </c>
      <c r="H132" s="323">
        <v>48</v>
      </c>
      <c r="I132" s="323">
        <v>48</v>
      </c>
      <c r="M132" s="322" t="s">
        <v>1634</v>
      </c>
      <c r="N132" s="58" t="s">
        <v>1636</v>
      </c>
      <c r="P132" s="323">
        <v>477</v>
      </c>
      <c r="Q132" s="323">
        <v>472</v>
      </c>
      <c r="R132" s="323">
        <v>267</v>
      </c>
    </row>
    <row r="133" spans="1:18" ht="15" customHeight="1" x14ac:dyDescent="0.15">
      <c r="A133" s="57" t="s">
        <v>1637</v>
      </c>
      <c r="F133" s="323">
        <v>3</v>
      </c>
      <c r="I133" s="323">
        <v>-1</v>
      </c>
      <c r="M133" s="322" t="s">
        <v>1634</v>
      </c>
      <c r="N133" s="58" t="s">
        <v>1638</v>
      </c>
      <c r="P133" s="77">
        <v>40</v>
      </c>
      <c r="Q133" s="77">
        <v>-3</v>
      </c>
      <c r="R133" s="323">
        <v>3</v>
      </c>
    </row>
    <row r="134" spans="1:18" ht="15" customHeight="1" x14ac:dyDescent="0.15">
      <c r="A134" s="57" t="s">
        <v>1639</v>
      </c>
      <c r="D134" s="77">
        <v>1241</v>
      </c>
      <c r="E134" s="77">
        <v>1311</v>
      </c>
      <c r="F134" s="77">
        <v>1447</v>
      </c>
      <c r="G134" s="77">
        <v>1618</v>
      </c>
      <c r="H134" s="77">
        <v>1624</v>
      </c>
      <c r="I134" s="77">
        <v>1692</v>
      </c>
      <c r="M134" s="322" t="s">
        <v>1634</v>
      </c>
      <c r="N134" s="58" t="s">
        <v>1640</v>
      </c>
      <c r="P134" s="77">
        <v>3504</v>
      </c>
      <c r="Q134" s="77">
        <v>4689</v>
      </c>
      <c r="R134" s="77">
        <v>6382</v>
      </c>
    </row>
    <row r="135" spans="1:18" ht="15" customHeight="1" x14ac:dyDescent="0.15">
      <c r="A135" s="57" t="s">
        <v>994</v>
      </c>
      <c r="D135" s="323">
        <v>-37</v>
      </c>
      <c r="E135" s="323">
        <v>-727</v>
      </c>
      <c r="F135" s="323">
        <v>175</v>
      </c>
      <c r="G135" s="323">
        <v>-2247</v>
      </c>
      <c r="H135" s="323">
        <v>-1354</v>
      </c>
      <c r="I135" s="323">
        <v>-5491</v>
      </c>
      <c r="M135" s="322" t="s">
        <v>1634</v>
      </c>
      <c r="N135" s="58" t="s">
        <v>1606</v>
      </c>
      <c r="P135" s="323">
        <v>-238</v>
      </c>
      <c r="Q135" s="323">
        <v>-1030</v>
      </c>
      <c r="R135" s="323">
        <v>-8918</v>
      </c>
    </row>
    <row r="136" spans="1:18" ht="15" customHeight="1" x14ac:dyDescent="0.15">
      <c r="A136" s="57" t="s">
        <v>1641</v>
      </c>
      <c r="D136" s="323">
        <v>1</v>
      </c>
      <c r="E136" s="323">
        <v>1</v>
      </c>
      <c r="F136" s="323">
        <v>1</v>
      </c>
      <c r="G136" s="323">
        <v>1</v>
      </c>
      <c r="H136" s="323">
        <v>1</v>
      </c>
      <c r="M136" s="322" t="s">
        <v>1634</v>
      </c>
      <c r="N136" s="58" t="s">
        <v>1642</v>
      </c>
      <c r="P136" s="323">
        <v>4</v>
      </c>
      <c r="Q136" s="323">
        <v>4</v>
      </c>
    </row>
    <row r="137" spans="1:18" ht="15" customHeight="1" x14ac:dyDescent="0.15">
      <c r="A137" s="57" t="s">
        <v>1643</v>
      </c>
      <c r="I137" s="323">
        <v>13</v>
      </c>
      <c r="M137" s="322" t="s">
        <v>1634</v>
      </c>
      <c r="N137" s="58" t="s">
        <v>1642</v>
      </c>
      <c r="R137" s="323">
        <v>16</v>
      </c>
    </row>
    <row r="138" spans="1:18" ht="15" customHeight="1" x14ac:dyDescent="0.15">
      <c r="A138" s="57" t="s">
        <v>1644</v>
      </c>
      <c r="D138" s="323">
        <v>1371</v>
      </c>
      <c r="E138" s="323">
        <v>756</v>
      </c>
      <c r="F138" s="323">
        <v>1813</v>
      </c>
      <c r="G138" s="323">
        <v>-521</v>
      </c>
      <c r="H138" s="323">
        <v>389</v>
      </c>
      <c r="I138" s="323">
        <v>-3670</v>
      </c>
      <c r="M138" s="322" t="s">
        <v>1634</v>
      </c>
      <c r="N138" s="58" t="s">
        <v>1645</v>
      </c>
      <c r="P138" s="323">
        <v>3928</v>
      </c>
      <c r="Q138" s="323">
        <v>4310</v>
      </c>
      <c r="R138" s="323">
        <v>-1989</v>
      </c>
    </row>
    <row r="139" spans="1:18" ht="15" customHeight="1" x14ac:dyDescent="0.15">
      <c r="A139" s="57" t="s">
        <v>1605</v>
      </c>
      <c r="D139" s="323">
        <v>-670</v>
      </c>
      <c r="E139" s="323">
        <v>-781</v>
      </c>
      <c r="F139" s="323">
        <v>-694</v>
      </c>
      <c r="G139" s="323">
        <v>-166</v>
      </c>
      <c r="H139" s="323">
        <v>-532</v>
      </c>
      <c r="I139" s="323">
        <v>262</v>
      </c>
      <c r="M139" s="322" t="s">
        <v>1634</v>
      </c>
      <c r="N139" s="58" t="s">
        <v>1606</v>
      </c>
      <c r="P139" s="323">
        <v>-1376</v>
      </c>
      <c r="Q139" s="323">
        <v>-2925</v>
      </c>
      <c r="R139" s="323">
        <v>-1129</v>
      </c>
    </row>
    <row r="140" spans="1:18" ht="15" customHeight="1" x14ac:dyDescent="0.15">
      <c r="A140" s="57" t="s">
        <v>1646</v>
      </c>
      <c r="G140" s="323">
        <v>48</v>
      </c>
      <c r="M140" s="322" t="s">
        <v>1634</v>
      </c>
      <c r="N140" s="58" t="s">
        <v>1647</v>
      </c>
      <c r="R140" s="77">
        <v>48</v>
      </c>
    </row>
    <row r="141" spans="1:18" ht="15" customHeight="1" x14ac:dyDescent="0.15">
      <c r="A141" s="57" t="s">
        <v>1611</v>
      </c>
      <c r="D141" s="323">
        <v>26322</v>
      </c>
      <c r="E141" s="323">
        <v>28894</v>
      </c>
      <c r="F141" s="323">
        <v>26858</v>
      </c>
      <c r="G141" s="323">
        <v>33960</v>
      </c>
      <c r="H141" s="323">
        <v>41967</v>
      </c>
      <c r="I141" s="323">
        <v>51209</v>
      </c>
      <c r="M141" s="322" t="s">
        <v>1634</v>
      </c>
      <c r="N141" s="58" t="s">
        <v>1648</v>
      </c>
      <c r="P141" s="323">
        <v>44959</v>
      </c>
      <c r="Q141" s="323">
        <v>98505</v>
      </c>
      <c r="R141" s="323">
        <v>153994</v>
      </c>
    </row>
    <row r="142" spans="1:18" ht="15" customHeight="1" x14ac:dyDescent="0.15">
      <c r="A142" s="57" t="s">
        <v>1613</v>
      </c>
      <c r="D142" s="331">
        <v>0.75</v>
      </c>
      <c r="E142" s="331">
        <v>0.73499999999999999</v>
      </c>
      <c r="F142" s="331">
        <v>0.61</v>
      </c>
      <c r="G142" s="331">
        <v>0.72699999999999998</v>
      </c>
      <c r="H142" s="331">
        <v>0.73599999999999999</v>
      </c>
      <c r="I142" s="331">
        <v>0.752</v>
      </c>
      <c r="M142" s="322" t="s">
        <v>1634</v>
      </c>
      <c r="N142" s="58" t="s">
        <v>1614</v>
      </c>
      <c r="P142" s="331">
        <v>0.73799999999999999</v>
      </c>
      <c r="Q142" s="331">
        <v>0.755</v>
      </c>
      <c r="R142" s="331">
        <v>0.71299999999999997</v>
      </c>
    </row>
    <row r="143" spans="1:18" ht="15" customHeight="1" x14ac:dyDescent="0.15">
      <c r="A143" s="57" t="s">
        <v>1615</v>
      </c>
      <c r="D143" s="323">
        <v>3046</v>
      </c>
      <c r="E143" s="323">
        <v>3378</v>
      </c>
      <c r="F143" s="323">
        <v>3583</v>
      </c>
      <c r="G143" s="323">
        <v>3795</v>
      </c>
      <c r="H143" s="323">
        <v>4215</v>
      </c>
      <c r="I143" s="323">
        <v>5102</v>
      </c>
      <c r="M143" s="322" t="s">
        <v>1634</v>
      </c>
      <c r="N143" s="58" t="s">
        <v>1606</v>
      </c>
      <c r="P143" s="323">
        <v>7825</v>
      </c>
      <c r="Q143" s="323">
        <v>11716</v>
      </c>
      <c r="R143" s="323">
        <v>16694</v>
      </c>
    </row>
    <row r="144" spans="1:18" ht="15" customHeight="1" x14ac:dyDescent="0.15">
      <c r="A144" s="57" t="s">
        <v>1617</v>
      </c>
      <c r="D144" s="323">
        <v>23276</v>
      </c>
      <c r="E144" s="323">
        <v>25516</v>
      </c>
      <c r="F144" s="323">
        <v>23275</v>
      </c>
      <c r="G144" s="323">
        <v>30165</v>
      </c>
      <c r="H144" s="323">
        <v>37752</v>
      </c>
      <c r="I144" s="323">
        <v>46107</v>
      </c>
      <c r="M144" s="322" t="s">
        <v>1634</v>
      </c>
      <c r="N144" s="58" t="s">
        <v>1606</v>
      </c>
      <c r="P144" s="323">
        <v>37134</v>
      </c>
      <c r="Q144" s="323">
        <v>86789</v>
      </c>
      <c r="R144" s="323">
        <v>137300</v>
      </c>
    </row>
    <row r="145" spans="1:27" ht="15" customHeight="1" x14ac:dyDescent="0.15">
      <c r="A145" s="57" t="s">
        <v>1649</v>
      </c>
      <c r="D145" s="323">
        <v>411</v>
      </c>
      <c r="E145" s="323">
        <v>457</v>
      </c>
      <c r="F145" s="323">
        <v>448</v>
      </c>
      <c r="G145" s="323">
        <v>520</v>
      </c>
      <c r="H145" s="323">
        <v>573</v>
      </c>
      <c r="I145" s="323">
        <v>620</v>
      </c>
      <c r="M145" s="322" t="s">
        <v>1634</v>
      </c>
      <c r="N145" s="58" t="s">
        <v>1606</v>
      </c>
      <c r="P145" s="323">
        <v>612</v>
      </c>
      <c r="Q145" s="323">
        <v>1547</v>
      </c>
      <c r="R145" s="323">
        <v>2161</v>
      </c>
    </row>
    <row r="146" spans="1:27" ht="15" customHeight="1" x14ac:dyDescent="0.15">
      <c r="A146" s="57" t="s">
        <v>1620</v>
      </c>
      <c r="D146" s="323">
        <v>20010</v>
      </c>
      <c r="E146" s="323">
        <v>22066</v>
      </c>
      <c r="F146" s="323">
        <v>19894</v>
      </c>
      <c r="G146" s="323">
        <v>25783</v>
      </c>
      <c r="H146" s="323">
        <v>31767</v>
      </c>
      <c r="I146" s="323">
        <v>39552</v>
      </c>
      <c r="M146" s="322" t="s">
        <v>1634</v>
      </c>
      <c r="N146" s="58" t="s">
        <v>1606</v>
      </c>
      <c r="P146" s="323">
        <v>32312</v>
      </c>
      <c r="Q146" s="323">
        <v>74265</v>
      </c>
      <c r="R146" s="323">
        <v>116997</v>
      </c>
    </row>
    <row r="147" spans="1:27" ht="15" customHeight="1" x14ac:dyDescent="0.15">
      <c r="A147" s="57" t="s">
        <v>1622</v>
      </c>
      <c r="D147" s="325">
        <v>0.81</v>
      </c>
      <c r="E147" s="325">
        <v>0.89</v>
      </c>
      <c r="F147" s="325">
        <v>0.81</v>
      </c>
      <c r="G147" s="325">
        <v>1.05</v>
      </c>
      <c r="H147" s="325">
        <v>1.3</v>
      </c>
      <c r="I147" s="325">
        <v>1.62</v>
      </c>
      <c r="M147" s="322" t="s">
        <v>1634</v>
      </c>
      <c r="N147" s="58" t="s">
        <v>1650</v>
      </c>
      <c r="P147" s="325">
        <v>1.3</v>
      </c>
      <c r="Q147" s="325">
        <v>2.99</v>
      </c>
      <c r="R147" s="325">
        <v>4.7699999999999996</v>
      </c>
    </row>
    <row r="148" spans="1:27" ht="15" customHeight="1" x14ac:dyDescent="0.15">
      <c r="A148" s="57" t="s">
        <v>1624</v>
      </c>
      <c r="D148" s="323">
        <v>17629</v>
      </c>
      <c r="E148" s="323">
        <v>16628</v>
      </c>
      <c r="F148" s="323">
        <v>27414</v>
      </c>
      <c r="G148" s="323">
        <v>15365</v>
      </c>
      <c r="H148" s="323">
        <v>23750</v>
      </c>
      <c r="I148" s="323">
        <v>36190</v>
      </c>
      <c r="M148" s="322" t="s">
        <v>1634</v>
      </c>
      <c r="N148" s="58" t="s">
        <v>1651</v>
      </c>
      <c r="P148" s="323">
        <v>28090</v>
      </c>
      <c r="Q148" s="323">
        <v>64089</v>
      </c>
      <c r="R148" s="323">
        <v>102718</v>
      </c>
    </row>
    <row r="149" spans="1:27" ht="15" customHeight="1" x14ac:dyDescent="0.15">
      <c r="A149" s="57" t="s">
        <v>1626</v>
      </c>
      <c r="D149" s="323">
        <v>-813</v>
      </c>
      <c r="E149" s="323">
        <v>-1077</v>
      </c>
      <c r="F149" s="323">
        <v>-1227</v>
      </c>
      <c r="G149" s="323">
        <v>-1894</v>
      </c>
      <c r="H149" s="323">
        <v>-1637</v>
      </c>
      <c r="I149" s="323">
        <v>-1284</v>
      </c>
      <c r="M149" s="322" t="s">
        <v>1634</v>
      </c>
      <c r="N149" s="58" t="s">
        <v>1627</v>
      </c>
      <c r="P149" s="323">
        <v>-1069</v>
      </c>
      <c r="Q149" s="323">
        <v>-3236</v>
      </c>
      <c r="R149" s="323">
        <v>-6042</v>
      </c>
    </row>
    <row r="150" spans="1:27" ht="15" customHeight="1" x14ac:dyDescent="0.15">
      <c r="A150" s="57" t="s">
        <v>1628</v>
      </c>
      <c r="D150" s="323">
        <v>-29</v>
      </c>
      <c r="E150" s="323">
        <v>-32</v>
      </c>
      <c r="F150" s="323">
        <v>-52</v>
      </c>
      <c r="G150" s="323">
        <v>-21</v>
      </c>
      <c r="H150" s="323">
        <v>-24</v>
      </c>
      <c r="I150" s="323">
        <v>-4</v>
      </c>
      <c r="M150" s="322" t="s">
        <v>1634</v>
      </c>
      <c r="N150" s="58" t="s">
        <v>1629</v>
      </c>
      <c r="P150" s="323">
        <v>-74</v>
      </c>
      <c r="Q150" s="323">
        <v>-129</v>
      </c>
      <c r="R150" s="323">
        <v>-101</v>
      </c>
    </row>
    <row r="151" spans="1:27" ht="15" customHeight="1" x14ac:dyDescent="0.15">
      <c r="A151" s="56" t="s">
        <v>1630</v>
      </c>
      <c r="D151" s="332">
        <v>16787</v>
      </c>
      <c r="E151" s="332">
        <v>15519</v>
      </c>
      <c r="F151" s="332">
        <v>26135</v>
      </c>
      <c r="G151" s="332">
        <v>13450</v>
      </c>
      <c r="H151" s="332">
        <v>22089</v>
      </c>
      <c r="I151" s="332">
        <v>34902</v>
      </c>
      <c r="M151" s="322" t="s">
        <v>1634</v>
      </c>
      <c r="N151" s="58" t="s">
        <v>1652</v>
      </c>
      <c r="P151" s="332">
        <v>26947</v>
      </c>
      <c r="Q151" s="332">
        <v>60724</v>
      </c>
      <c r="R151" s="332">
        <v>96575</v>
      </c>
    </row>
    <row r="152" spans="1:27" ht="15" customHeight="1" x14ac:dyDescent="0.15">
      <c r="A152" s="56" t="s">
        <v>1653</v>
      </c>
    </row>
    <row r="153" spans="1:27" ht="15" customHeight="1" x14ac:dyDescent="0.15">
      <c r="A153" s="57" t="s">
        <v>1654</v>
      </c>
      <c r="M153" s="322" t="s">
        <v>1655</v>
      </c>
      <c r="N153" s="58" t="s">
        <v>1656</v>
      </c>
      <c r="Y153" s="333">
        <v>9.31</v>
      </c>
      <c r="Z153" s="333">
        <v>15.91</v>
      </c>
      <c r="AA153" s="333">
        <v>21.64</v>
      </c>
    </row>
    <row r="155" spans="1:27" ht="15" customHeight="1" x14ac:dyDescent="0.15">
      <c r="A155" s="56" t="s">
        <v>1657</v>
      </c>
    </row>
    <row r="156" spans="1:27" ht="15" customHeight="1" x14ac:dyDescent="0.15">
      <c r="A156" s="57" t="s">
        <v>1658</v>
      </c>
      <c r="F156" s="323">
        <v>163</v>
      </c>
      <c r="G156" s="323">
        <v>101</v>
      </c>
      <c r="I156" s="323">
        <v>175</v>
      </c>
      <c r="J156" s="323">
        <v>247</v>
      </c>
      <c r="K156" s="323">
        <v>222</v>
      </c>
      <c r="M156" s="322" t="s">
        <v>1594</v>
      </c>
      <c r="N156" s="58" t="s">
        <v>1659</v>
      </c>
    </row>
    <row r="157" spans="1:27" ht="15" customHeight="1" x14ac:dyDescent="0.15">
      <c r="A157" s="57" t="s">
        <v>1660</v>
      </c>
      <c r="F157" s="323">
        <v>339</v>
      </c>
      <c r="G157" s="323">
        <v>-2145</v>
      </c>
      <c r="I157" s="323">
        <v>-5303</v>
      </c>
      <c r="J157" s="323">
        <v>-15663</v>
      </c>
      <c r="K157" s="323">
        <v>-7251</v>
      </c>
      <c r="M157" s="322" t="s">
        <v>1594</v>
      </c>
      <c r="N157" s="58" t="s">
        <v>1661</v>
      </c>
    </row>
    <row r="158" spans="1:27" ht="15" customHeight="1" x14ac:dyDescent="0.15">
      <c r="A158" s="57" t="s">
        <v>1662</v>
      </c>
      <c r="D158" s="323">
        <v>1407</v>
      </c>
      <c r="E158" s="323">
        <v>1482</v>
      </c>
      <c r="F158" s="323">
        <v>1637</v>
      </c>
      <c r="G158" s="323">
        <v>1725</v>
      </c>
      <c r="H158" s="323">
        <v>1742</v>
      </c>
      <c r="I158" s="323">
        <v>1808</v>
      </c>
      <c r="M158" s="322" t="s">
        <v>1634</v>
      </c>
      <c r="N158" s="58" t="s">
        <v>1663</v>
      </c>
      <c r="P158" s="323">
        <v>4162</v>
      </c>
      <c r="Q158" s="323">
        <v>5336</v>
      </c>
      <c r="R158" s="323">
        <v>6913</v>
      </c>
    </row>
    <row r="160" spans="1:27" ht="15" customHeight="1" x14ac:dyDescent="0.15">
      <c r="A160" s="56" t="s">
        <v>1664</v>
      </c>
    </row>
    <row r="161" spans="1:25" ht="15" customHeight="1" x14ac:dyDescent="0.15">
      <c r="N161" s="58" t="s">
        <v>1665</v>
      </c>
    </row>
    <row r="162" spans="1:25" ht="15" customHeight="1" x14ac:dyDescent="0.15">
      <c r="A162" s="261" t="s">
        <v>1666</v>
      </c>
      <c r="B162" s="261" t="s">
        <v>476</v>
      </c>
      <c r="C162" s="261" t="s">
        <v>477</v>
      </c>
      <c r="D162" s="261" t="s">
        <v>478</v>
      </c>
      <c r="E162" s="261" t="s">
        <v>480</v>
      </c>
      <c r="F162" s="261" t="s">
        <v>481</v>
      </c>
      <c r="G162" s="261" t="s">
        <v>482</v>
      </c>
      <c r="H162" s="261" t="s">
        <v>483</v>
      </c>
      <c r="I162" s="261" t="s">
        <v>1667</v>
      </c>
      <c r="J162" s="261" t="s">
        <v>1668</v>
      </c>
      <c r="K162" s="261" t="s">
        <v>1669</v>
      </c>
      <c r="L162" s="261" t="s">
        <v>1670</v>
      </c>
      <c r="M162" s="261" t="s">
        <v>1671</v>
      </c>
      <c r="N162" s="261" t="s">
        <v>1672</v>
      </c>
      <c r="O162" s="261" t="s">
        <v>1673</v>
      </c>
      <c r="P162" s="261" t="s">
        <v>1674</v>
      </c>
      <c r="Q162" s="261" t="s">
        <v>1675</v>
      </c>
      <c r="R162" s="261" t="s">
        <v>1676</v>
      </c>
      <c r="S162" s="261" t="s">
        <v>1677</v>
      </c>
      <c r="T162" s="261" t="s">
        <v>1678</v>
      </c>
      <c r="U162" s="261" t="s">
        <v>1679</v>
      </c>
      <c r="V162" s="261" t="s">
        <v>1680</v>
      </c>
      <c r="W162" s="261" t="s">
        <v>1681</v>
      </c>
      <c r="X162" s="261" t="s">
        <v>1465</v>
      </c>
      <c r="Y162" s="261" t="s">
        <v>1682</v>
      </c>
    </row>
    <row r="163" spans="1:25" ht="15" customHeight="1" x14ac:dyDescent="0.15">
      <c r="A163" s="57" t="s">
        <v>1683</v>
      </c>
      <c r="B163" s="57" t="s">
        <v>1684</v>
      </c>
      <c r="C163" s="57" t="s">
        <v>1685</v>
      </c>
      <c r="D163" s="57" t="s">
        <v>1686</v>
      </c>
      <c r="E163" s="57" t="s">
        <v>1687</v>
      </c>
      <c r="F163" s="57" t="s">
        <v>1688</v>
      </c>
      <c r="G163" s="57" t="s">
        <v>1689</v>
      </c>
      <c r="H163" s="57" t="s">
        <v>1690</v>
      </c>
      <c r="I163" s="57">
        <v>360.14</v>
      </c>
      <c r="J163" s="57" t="s">
        <v>1691</v>
      </c>
      <c r="K163" s="57">
        <v>1719.231374</v>
      </c>
      <c r="L163" s="57">
        <v>35.444000000000003</v>
      </c>
      <c r="M163" s="57">
        <v>99.69</v>
      </c>
      <c r="N163" s="57">
        <v>63.887</v>
      </c>
      <c r="O163" s="57">
        <v>34.119999999999997</v>
      </c>
      <c r="P163" s="57">
        <v>10.37</v>
      </c>
      <c r="Q163" s="57">
        <v>17.440000000000001</v>
      </c>
      <c r="R163" s="57">
        <v>0.67769999999999997</v>
      </c>
      <c r="S163" s="57">
        <v>0.85499999999999998</v>
      </c>
      <c r="T163" s="57" t="s">
        <v>1692</v>
      </c>
      <c r="U163" s="57" t="s">
        <v>1693</v>
      </c>
      <c r="V163" s="57">
        <v>13</v>
      </c>
      <c r="W163" s="57">
        <v>14</v>
      </c>
      <c r="X163" s="57" t="s">
        <v>1370</v>
      </c>
      <c r="Y163" s="58" t="s">
        <v>1694</v>
      </c>
    </row>
    <row r="164" spans="1:25" ht="15" customHeight="1" x14ac:dyDescent="0.15">
      <c r="A164" s="57" t="s">
        <v>1695</v>
      </c>
      <c r="B164" s="57" t="s">
        <v>1696</v>
      </c>
      <c r="C164" s="57" t="s">
        <v>1697</v>
      </c>
      <c r="D164" s="57" t="s">
        <v>1686</v>
      </c>
      <c r="E164" s="57" t="s">
        <v>1687</v>
      </c>
      <c r="F164" s="57" t="s">
        <v>1698</v>
      </c>
      <c r="G164" s="57" t="s">
        <v>1699</v>
      </c>
      <c r="H164" s="57" t="s">
        <v>1700</v>
      </c>
      <c r="I164" s="57">
        <v>620.67999999999995</v>
      </c>
      <c r="J164" s="57" t="s">
        <v>1691</v>
      </c>
      <c r="K164" s="57">
        <v>1014.083127</v>
      </c>
      <c r="L164" s="57">
        <v>-9.8849999999999998</v>
      </c>
      <c r="M164" s="57">
        <v>67.224000000000004</v>
      </c>
      <c r="N164" s="57">
        <v>34.639000000000003</v>
      </c>
      <c r="O164" s="57">
        <v>6.6980000000000004</v>
      </c>
      <c r="P164" s="57">
        <v>6.43</v>
      </c>
      <c r="Q164" s="57">
        <v>13.65</v>
      </c>
      <c r="R164" s="57">
        <v>0.49519999999999997</v>
      </c>
      <c r="S164" s="57">
        <v>0.50109999999999999</v>
      </c>
      <c r="T164" s="57" t="s">
        <v>1701</v>
      </c>
      <c r="U164" s="57" t="s">
        <v>1693</v>
      </c>
      <c r="V164" s="57">
        <v>20</v>
      </c>
      <c r="W164" s="57">
        <v>20</v>
      </c>
      <c r="X164" s="57" t="s">
        <v>1370</v>
      </c>
      <c r="Y164" s="58" t="s">
        <v>1702</v>
      </c>
    </row>
    <row r="165" spans="1:25" ht="15" customHeight="1" x14ac:dyDescent="0.15">
      <c r="A165" s="57" t="s">
        <v>1703</v>
      </c>
      <c r="B165" s="57" t="s">
        <v>1704</v>
      </c>
      <c r="C165" s="57" t="s">
        <v>1705</v>
      </c>
      <c r="D165" s="57" t="s">
        <v>1686</v>
      </c>
      <c r="E165" s="57" t="s">
        <v>1687</v>
      </c>
      <c r="F165" s="57" t="s">
        <v>1698</v>
      </c>
      <c r="G165" s="57" t="s">
        <v>1699</v>
      </c>
      <c r="H165" s="57" t="s">
        <v>1706</v>
      </c>
      <c r="I165" s="57">
        <v>107.08</v>
      </c>
      <c r="J165" s="57" t="s">
        <v>1691</v>
      </c>
      <c r="K165" s="57">
        <v>566.17425000000003</v>
      </c>
      <c r="L165" s="57">
        <v>20.81</v>
      </c>
      <c r="M165" s="57">
        <v>87.542000000000002</v>
      </c>
      <c r="N165" s="57">
        <v>52.853000000000002</v>
      </c>
      <c r="O165" s="57">
        <v>9.4920000000000009</v>
      </c>
      <c r="P165" s="57">
        <v>1.04</v>
      </c>
      <c r="Q165" s="57">
        <v>1.44</v>
      </c>
      <c r="R165" s="57">
        <v>0.34770000000000001</v>
      </c>
      <c r="S165" s="57">
        <v>0.25419999999999998</v>
      </c>
      <c r="T165" s="57" t="s">
        <v>1701</v>
      </c>
      <c r="U165" s="57" t="s">
        <v>1693</v>
      </c>
      <c r="V165" s="57">
        <v>17</v>
      </c>
      <c r="W165" s="57">
        <v>18</v>
      </c>
      <c r="X165" s="57" t="s">
        <v>1370</v>
      </c>
      <c r="Y165" s="58" t="s">
        <v>1702</v>
      </c>
    </row>
    <row r="166" spans="1:25" ht="15" customHeight="1" x14ac:dyDescent="0.15">
      <c r="A166" s="57" t="s">
        <v>1707</v>
      </c>
      <c r="B166" s="57" t="s">
        <v>1708</v>
      </c>
      <c r="C166" s="57" t="s">
        <v>1709</v>
      </c>
      <c r="D166" s="57" t="s">
        <v>1686</v>
      </c>
      <c r="E166" s="57" t="s">
        <v>1687</v>
      </c>
      <c r="F166" s="57" t="s">
        <v>1710</v>
      </c>
      <c r="G166" s="57" t="s">
        <v>1711</v>
      </c>
      <c r="H166" s="57" t="s">
        <v>1712</v>
      </c>
      <c r="I166" s="57">
        <v>274.66000000000003</v>
      </c>
      <c r="J166" s="57" t="s">
        <v>1691</v>
      </c>
      <c r="K166" s="57">
        <v>240.87816900000001</v>
      </c>
      <c r="L166" s="57">
        <v>1.03</v>
      </c>
      <c r="M166" s="57">
        <v>18.531600000000001</v>
      </c>
      <c r="N166" s="57">
        <v>8.1945999999999994</v>
      </c>
      <c r="O166" s="57">
        <v>2.6135000000000002</v>
      </c>
      <c r="P166" s="57">
        <v>3.05</v>
      </c>
      <c r="Q166" s="57">
        <v>5.5</v>
      </c>
      <c r="R166" s="57">
        <v>0.51019999999999999</v>
      </c>
      <c r="S166" s="57">
        <v>0.36549999999999999</v>
      </c>
      <c r="T166" s="57" t="s">
        <v>1713</v>
      </c>
      <c r="U166" s="57" t="s">
        <v>1714</v>
      </c>
      <c r="V166" s="57">
        <v>15</v>
      </c>
      <c r="W166" s="57">
        <v>14</v>
      </c>
      <c r="X166" s="57" t="s">
        <v>1370</v>
      </c>
      <c r="Y166" s="58" t="s">
        <v>1715</v>
      </c>
    </row>
    <row r="167" spans="1:25" ht="15" customHeight="1" x14ac:dyDescent="0.15">
      <c r="A167" s="57" t="s">
        <v>1716</v>
      </c>
      <c r="B167" s="57" t="s">
        <v>1717</v>
      </c>
      <c r="C167" s="57" t="s">
        <v>1718</v>
      </c>
      <c r="D167" s="57" t="s">
        <v>1686</v>
      </c>
      <c r="E167" s="57" t="s">
        <v>1687</v>
      </c>
      <c r="F167" s="57" t="s">
        <v>1719</v>
      </c>
      <c r="G167" s="57" t="s">
        <v>1720</v>
      </c>
      <c r="H167" s="57" t="s">
        <v>1721</v>
      </c>
      <c r="I167" s="57">
        <v>176.01</v>
      </c>
      <c r="J167" s="57" t="s">
        <v>1691</v>
      </c>
      <c r="K167" s="57">
        <v>184.85167300000001</v>
      </c>
      <c r="L167" s="57">
        <v>6.9660000000000002</v>
      </c>
      <c r="M167" s="57">
        <v>27.658000000000001</v>
      </c>
      <c r="N167" s="57">
        <v>44.283999999999999</v>
      </c>
      <c r="O167" s="57">
        <v>14.278</v>
      </c>
      <c r="P167" s="57">
        <v>7.74</v>
      </c>
      <c r="Q167" s="57">
        <v>7.17</v>
      </c>
      <c r="R167" s="57">
        <v>0.5544</v>
      </c>
      <c r="S167" s="57">
        <v>-4.0300000000000002E-2</v>
      </c>
      <c r="T167" s="57" t="s">
        <v>1722</v>
      </c>
      <c r="U167" s="57" t="s">
        <v>1693</v>
      </c>
      <c r="V167" s="57">
        <v>12</v>
      </c>
      <c r="W167" s="57">
        <v>14</v>
      </c>
      <c r="X167" s="57" t="s">
        <v>1370</v>
      </c>
      <c r="Y167" s="58" t="s">
        <v>1723</v>
      </c>
    </row>
    <row r="168" spans="1:25" ht="15" customHeight="1" x14ac:dyDescent="0.15">
      <c r="A168" s="57" t="s">
        <v>1724</v>
      </c>
      <c r="B168" s="57" t="s">
        <v>1725</v>
      </c>
      <c r="C168" s="57" t="s">
        <v>1726</v>
      </c>
      <c r="D168" s="57" t="s">
        <v>1727</v>
      </c>
      <c r="E168" s="57" t="s">
        <v>1687</v>
      </c>
      <c r="F168" s="57" t="s">
        <v>1728</v>
      </c>
      <c r="G168" s="57" t="s">
        <v>1699</v>
      </c>
      <c r="H168" s="57" t="s">
        <v>1729</v>
      </c>
      <c r="I168" s="57">
        <v>457.99</v>
      </c>
      <c r="J168" s="57" t="s">
        <v>1691</v>
      </c>
      <c r="K168" s="57">
        <v>2373.207613</v>
      </c>
      <c r="L168" s="57">
        <v>-59.29</v>
      </c>
      <c r="M168" s="57">
        <v>170.71</v>
      </c>
      <c r="N168" s="57">
        <v>121.4235</v>
      </c>
      <c r="O168" s="57">
        <v>83.652799999999999</v>
      </c>
      <c r="P168" s="57">
        <v>16.559999999999999</v>
      </c>
      <c r="Q168" s="57">
        <v>21.33</v>
      </c>
      <c r="R168" s="57">
        <v>0.59889999999999999</v>
      </c>
      <c r="S168" s="57" t="s">
        <v>247</v>
      </c>
      <c r="T168" s="57" t="s">
        <v>1701</v>
      </c>
      <c r="U168" s="57" t="s">
        <v>1693</v>
      </c>
      <c r="V168" s="57">
        <v>9</v>
      </c>
      <c r="W168" s="57">
        <v>9</v>
      </c>
      <c r="X168" s="57" t="s">
        <v>1370</v>
      </c>
      <c r="Y168" s="58" t="s">
        <v>1730</v>
      </c>
    </row>
    <row r="169" spans="1:25" ht="15" customHeight="1" x14ac:dyDescent="0.15">
      <c r="A169" s="57" t="s">
        <v>1731</v>
      </c>
      <c r="B169" s="57" t="s">
        <v>1732</v>
      </c>
      <c r="C169" s="57" t="s">
        <v>1733</v>
      </c>
      <c r="D169" s="57" t="s">
        <v>1686</v>
      </c>
      <c r="E169" s="57" t="s">
        <v>1687</v>
      </c>
      <c r="F169" s="57" t="s">
        <v>1734</v>
      </c>
      <c r="G169" s="57" t="s">
        <v>1735</v>
      </c>
      <c r="H169" s="57" t="s">
        <v>1736</v>
      </c>
      <c r="I169" s="57">
        <v>1035.8399999999999</v>
      </c>
      <c r="J169" s="57" t="s">
        <v>1691</v>
      </c>
      <c r="K169" s="57">
        <v>1169.5228420000001</v>
      </c>
      <c r="L169" s="57">
        <v>-38.255000000000003</v>
      </c>
      <c r="M169" s="57">
        <v>138.37799999999999</v>
      </c>
      <c r="N169" s="57">
        <v>133.18799999999999</v>
      </c>
      <c r="O169" s="57">
        <v>108.843</v>
      </c>
      <c r="P169" s="57">
        <v>175.82</v>
      </c>
      <c r="Q169" s="57">
        <v>208.36</v>
      </c>
      <c r="R169" s="57">
        <v>0.80720000000000003</v>
      </c>
      <c r="S169" s="57">
        <v>3.4643000000000002</v>
      </c>
      <c r="T169" s="57" t="s">
        <v>1693</v>
      </c>
      <c r="U169" s="57" t="s">
        <v>1714</v>
      </c>
      <c r="V169" s="57">
        <v>14</v>
      </c>
      <c r="W169" s="57">
        <v>8</v>
      </c>
      <c r="X169" s="57" t="s">
        <v>1370</v>
      </c>
      <c r="Y169" s="58" t="s">
        <v>1737</v>
      </c>
    </row>
    <row r="170" spans="1:25" ht="15" customHeight="1" x14ac:dyDescent="0.15">
      <c r="A170" s="57" t="s">
        <v>1738</v>
      </c>
      <c r="B170" s="57" t="s">
        <v>1739</v>
      </c>
      <c r="C170" s="57" t="s">
        <v>1740</v>
      </c>
      <c r="D170" s="57" t="s">
        <v>1741</v>
      </c>
      <c r="E170" s="57" t="s">
        <v>1687</v>
      </c>
      <c r="F170" s="57" t="s">
        <v>1742</v>
      </c>
      <c r="G170" s="57" t="s">
        <v>1743</v>
      </c>
      <c r="H170" s="57" t="s">
        <v>1744</v>
      </c>
      <c r="I170" s="57">
        <v>275.29000000000002</v>
      </c>
      <c r="J170" s="57" t="s">
        <v>1691</v>
      </c>
      <c r="K170" s="57">
        <v>294.19161800000001</v>
      </c>
      <c r="L170" s="57">
        <v>-3.8879999999999999</v>
      </c>
      <c r="M170" s="57">
        <v>8.6300000000000008</v>
      </c>
      <c r="N170" s="57">
        <v>4.92</v>
      </c>
      <c r="O170" s="57">
        <v>1.248</v>
      </c>
      <c r="P170" s="57">
        <v>1.1499999999999999</v>
      </c>
      <c r="Q170" s="57">
        <v>1.9</v>
      </c>
      <c r="R170" s="57">
        <v>0.97540000000000004</v>
      </c>
      <c r="S170" s="57">
        <v>0.22409999999999999</v>
      </c>
      <c r="T170" s="57" t="s">
        <v>1745</v>
      </c>
      <c r="U170" s="57" t="s">
        <v>1714</v>
      </c>
      <c r="V170" s="57">
        <v>9</v>
      </c>
      <c r="W170" s="57">
        <v>8</v>
      </c>
      <c r="X170" s="57" t="s">
        <v>1370</v>
      </c>
      <c r="Y170" s="58" t="s">
        <v>1746</v>
      </c>
    </row>
    <row r="171" spans="1:25" ht="15" customHeight="1" x14ac:dyDescent="0.15">
      <c r="A171" s="57" t="s">
        <v>1747</v>
      </c>
      <c r="B171" s="57" t="s">
        <v>1748</v>
      </c>
      <c r="C171" s="57" t="s">
        <v>139</v>
      </c>
      <c r="D171" s="57" t="s">
        <v>1686</v>
      </c>
      <c r="E171" s="57" t="s">
        <v>1687</v>
      </c>
      <c r="F171" s="57" t="s">
        <v>1749</v>
      </c>
      <c r="G171" s="57" t="s">
        <v>1750</v>
      </c>
      <c r="H171" s="57" t="s">
        <v>1751</v>
      </c>
      <c r="I171" s="57">
        <v>230.48</v>
      </c>
      <c r="J171" s="57" t="s">
        <v>1691</v>
      </c>
      <c r="K171" s="57">
        <v>5554.5690290000002</v>
      </c>
      <c r="L171" s="57">
        <v>-23.22</v>
      </c>
      <c r="M171" s="57">
        <v>228.98400000000001</v>
      </c>
      <c r="N171" s="57">
        <v>215.93799999999999</v>
      </c>
      <c r="O171" s="57">
        <f>(IS!X13+CF!X8)/1000</f>
        <v>133.22999999999999</v>
      </c>
      <c r="P171" s="57">
        <v>9.31</v>
      </c>
      <c r="Q171" s="57">
        <v>15.91</v>
      </c>
      <c r="R171" s="57">
        <v>0.7107</v>
      </c>
      <c r="S171" s="57">
        <v>1.0585</v>
      </c>
      <c r="T171" s="57" t="s">
        <v>1752</v>
      </c>
      <c r="U171" s="57" t="s">
        <v>1714</v>
      </c>
      <c r="V171" s="57" t="s">
        <v>1753</v>
      </c>
      <c r="W171" s="57" t="s">
        <v>1753</v>
      </c>
      <c r="X171" s="57" t="s">
        <v>1370</v>
      </c>
      <c r="Y171" s="58" t="s">
        <v>1754</v>
      </c>
    </row>
    <row r="173" spans="1:25" ht="15" customHeight="1" x14ac:dyDescent="0.15">
      <c r="A173" s="56" t="s">
        <v>1755</v>
      </c>
    </row>
    <row r="174" spans="1:25" ht="15" customHeight="1" x14ac:dyDescent="0.15">
      <c r="N174" s="58" t="s">
        <v>1756</v>
      </c>
    </row>
    <row r="175" spans="1:25" ht="15" customHeight="1" x14ac:dyDescent="0.15">
      <c r="A175" s="261" t="s">
        <v>1757</v>
      </c>
      <c r="B175" s="261" t="s">
        <v>1758</v>
      </c>
      <c r="C175" s="261" t="s">
        <v>1759</v>
      </c>
      <c r="D175" s="261" t="s">
        <v>1760</v>
      </c>
      <c r="E175" s="261" t="s">
        <v>1447</v>
      </c>
      <c r="F175" s="261" t="s">
        <v>1761</v>
      </c>
      <c r="G175" s="261" t="s">
        <v>1762</v>
      </c>
      <c r="X175" s="261" t="s">
        <v>1465</v>
      </c>
      <c r="Y175" s="261" t="s">
        <v>1682</v>
      </c>
    </row>
    <row r="176" spans="1:25" ht="15" customHeight="1" x14ac:dyDescent="0.15">
      <c r="A176" s="57" t="s">
        <v>1763</v>
      </c>
      <c r="B176" s="57" t="s">
        <v>1451</v>
      </c>
      <c r="C176" s="57" t="s">
        <v>1764</v>
      </c>
      <c r="D176" s="57" t="s">
        <v>1765</v>
      </c>
      <c r="E176" s="57">
        <v>300</v>
      </c>
      <c r="F176" s="57" t="s">
        <v>1766</v>
      </c>
      <c r="G176" s="57" t="s">
        <v>1767</v>
      </c>
      <c r="X176" s="57" t="s">
        <v>1374</v>
      </c>
      <c r="Y176" s="58" t="s">
        <v>1768</v>
      </c>
    </row>
    <row r="177" spans="1:25" ht="15" customHeight="1" x14ac:dyDescent="0.15">
      <c r="A177" s="57" t="s">
        <v>1769</v>
      </c>
      <c r="B177" s="57" t="s">
        <v>1453</v>
      </c>
      <c r="C177" s="57" t="s">
        <v>1770</v>
      </c>
      <c r="D177" s="57" t="s">
        <v>1771</v>
      </c>
      <c r="E177" s="57">
        <v>300</v>
      </c>
      <c r="F177" s="57" t="s">
        <v>1772</v>
      </c>
      <c r="G177" s="57" t="s">
        <v>1767</v>
      </c>
      <c r="X177" s="57" t="s">
        <v>1374</v>
      </c>
      <c r="Y177" s="58" t="s">
        <v>1773</v>
      </c>
    </row>
    <row r="178" spans="1:25" ht="15" customHeight="1" x14ac:dyDescent="0.15">
      <c r="A178" s="57" t="s">
        <v>1774</v>
      </c>
      <c r="B178" s="57" t="s">
        <v>1775</v>
      </c>
      <c r="C178" s="57" t="s">
        <v>1776</v>
      </c>
      <c r="D178" s="57" t="s">
        <v>1765</v>
      </c>
      <c r="E178" s="57">
        <v>350</v>
      </c>
      <c r="F178" s="57" t="s">
        <v>1777</v>
      </c>
      <c r="G178" s="57" t="s">
        <v>1767</v>
      </c>
      <c r="X178" s="57" t="s">
        <v>1374</v>
      </c>
      <c r="Y178" s="58" t="s">
        <v>1778</v>
      </c>
    </row>
    <row r="179" spans="1:25" ht="15" customHeight="1" x14ac:dyDescent="0.15">
      <c r="A179" s="57" t="s">
        <v>1779</v>
      </c>
      <c r="B179" s="57" t="s">
        <v>1455</v>
      </c>
      <c r="C179" s="57" t="s">
        <v>1780</v>
      </c>
      <c r="D179" s="57" t="s">
        <v>1771</v>
      </c>
      <c r="E179" s="57">
        <v>320</v>
      </c>
      <c r="F179" s="57" t="s">
        <v>1781</v>
      </c>
      <c r="G179" s="57" t="s">
        <v>1767</v>
      </c>
      <c r="X179" s="57" t="s">
        <v>1374</v>
      </c>
      <c r="Y179" s="58" t="s">
        <v>1782</v>
      </c>
    </row>
    <row r="180" spans="1:25" ht="15" customHeight="1" x14ac:dyDescent="0.15">
      <c r="A180" s="57" t="s">
        <v>1783</v>
      </c>
      <c r="B180" s="57" t="s">
        <v>1784</v>
      </c>
      <c r="C180" s="57" t="s">
        <v>1776</v>
      </c>
      <c r="D180" s="57" t="s">
        <v>1765</v>
      </c>
      <c r="E180" s="57">
        <v>315</v>
      </c>
      <c r="F180" s="57" t="s">
        <v>1785</v>
      </c>
      <c r="G180" s="57" t="s">
        <v>1767</v>
      </c>
      <c r="X180" s="57" t="s">
        <v>1374</v>
      </c>
      <c r="Y180" s="58" t="s">
        <v>1786</v>
      </c>
    </row>
    <row r="181" spans="1:25" ht="15" customHeight="1" x14ac:dyDescent="0.15">
      <c r="A181" s="57" t="s">
        <v>1787</v>
      </c>
      <c r="B181" s="57" t="s">
        <v>1788</v>
      </c>
      <c r="C181" s="57" t="s">
        <v>1789</v>
      </c>
      <c r="D181" s="57" t="s">
        <v>1765</v>
      </c>
      <c r="E181" s="57">
        <v>280</v>
      </c>
      <c r="F181" s="57" t="s">
        <v>1790</v>
      </c>
      <c r="G181" s="57" t="s">
        <v>1791</v>
      </c>
      <c r="X181" s="57" t="s">
        <v>1374</v>
      </c>
      <c r="Y181" s="58" t="s">
        <v>1792</v>
      </c>
    </row>
    <row r="182" spans="1:25" ht="15" customHeight="1" x14ac:dyDescent="0.15">
      <c r="A182" s="57" t="s">
        <v>1793</v>
      </c>
      <c r="B182" s="57" t="s">
        <v>1794</v>
      </c>
      <c r="C182" s="57" t="s">
        <v>1776</v>
      </c>
      <c r="D182" s="57" t="s">
        <v>1771</v>
      </c>
      <c r="E182" s="57">
        <v>315</v>
      </c>
      <c r="F182" s="57" t="s">
        <v>1795</v>
      </c>
      <c r="G182" s="57" t="s">
        <v>1767</v>
      </c>
      <c r="X182" s="57" t="s">
        <v>1374</v>
      </c>
      <c r="Y182" s="58" t="s">
        <v>1796</v>
      </c>
    </row>
    <row r="183" spans="1:25" ht="15" customHeight="1" x14ac:dyDescent="0.15">
      <c r="A183" s="57" t="s">
        <v>1797</v>
      </c>
      <c r="B183" s="57" t="s">
        <v>1798</v>
      </c>
      <c r="C183" s="57" t="s">
        <v>1776</v>
      </c>
      <c r="D183" s="57" t="s">
        <v>1765</v>
      </c>
      <c r="E183" s="57">
        <v>365</v>
      </c>
      <c r="F183" s="57" t="s">
        <v>1799</v>
      </c>
      <c r="G183" s="57" t="s">
        <v>1767</v>
      </c>
      <c r="X183" s="57" t="s">
        <v>1374</v>
      </c>
      <c r="Y183" s="58" t="s">
        <v>1800</v>
      </c>
    </row>
    <row r="184" spans="1:25" ht="15" customHeight="1" x14ac:dyDescent="0.15">
      <c r="A184" s="57" t="s">
        <v>1801</v>
      </c>
      <c r="B184" s="57" t="s">
        <v>1802</v>
      </c>
      <c r="C184" s="57" t="s">
        <v>1803</v>
      </c>
      <c r="D184" s="57" t="s">
        <v>1804</v>
      </c>
      <c r="E184" s="57">
        <v>300</v>
      </c>
      <c r="F184" s="57" t="s">
        <v>1805</v>
      </c>
      <c r="G184" s="57" t="s">
        <v>1791</v>
      </c>
      <c r="X184" s="57" t="s">
        <v>1374</v>
      </c>
      <c r="Y184" s="58" t="s">
        <v>1806</v>
      </c>
    </row>
    <row r="185" spans="1:25" ht="15" customHeight="1" x14ac:dyDescent="0.15">
      <c r="A185" s="57" t="s">
        <v>1807</v>
      </c>
      <c r="B185" s="57" t="s">
        <v>1808</v>
      </c>
      <c r="C185" s="57" t="s">
        <v>1776</v>
      </c>
      <c r="D185" s="57" t="s">
        <v>1809</v>
      </c>
      <c r="E185" s="57">
        <v>275</v>
      </c>
      <c r="F185" s="57" t="s">
        <v>1810</v>
      </c>
      <c r="G185" s="57" t="s">
        <v>1767</v>
      </c>
      <c r="X185" s="57" t="s">
        <v>1374</v>
      </c>
      <c r="Y185" s="58" t="s">
        <v>1811</v>
      </c>
    </row>
    <row r="186" spans="1:25" ht="15" customHeight="1" x14ac:dyDescent="0.15">
      <c r="A186" s="57" t="s">
        <v>1812</v>
      </c>
      <c r="B186" s="57" t="s">
        <v>1813</v>
      </c>
      <c r="C186" s="57" t="s">
        <v>1814</v>
      </c>
      <c r="D186" s="57" t="s">
        <v>1815</v>
      </c>
      <c r="E186" s="57">
        <v>340</v>
      </c>
      <c r="F186" s="57" t="s">
        <v>1816</v>
      </c>
      <c r="G186" s="57" t="s">
        <v>1791</v>
      </c>
      <c r="X186" s="57" t="s">
        <v>1374</v>
      </c>
      <c r="Y186" s="58" t="s">
        <v>1817</v>
      </c>
    </row>
    <row r="187" spans="1:25" ht="15" customHeight="1" x14ac:dyDescent="0.15">
      <c r="A187" s="57" t="s">
        <v>1818</v>
      </c>
      <c r="B187" s="57" t="s">
        <v>1819</v>
      </c>
      <c r="C187" s="57" t="s">
        <v>1776</v>
      </c>
      <c r="D187" s="57" t="s">
        <v>1820</v>
      </c>
      <c r="E187" s="57">
        <v>350</v>
      </c>
      <c r="F187" s="57" t="s">
        <v>1821</v>
      </c>
      <c r="G187" s="57" t="s">
        <v>1767</v>
      </c>
      <c r="X187" s="57" t="s">
        <v>1374</v>
      </c>
      <c r="Y187" s="58" t="s">
        <v>1822</v>
      </c>
    </row>
    <row r="188" spans="1:25" ht="15" customHeight="1" x14ac:dyDescent="0.15">
      <c r="A188" s="57" t="s">
        <v>1823</v>
      </c>
      <c r="B188" s="57" t="s">
        <v>1824</v>
      </c>
      <c r="C188" s="57" t="s">
        <v>1825</v>
      </c>
      <c r="D188" s="57" t="s">
        <v>1804</v>
      </c>
      <c r="E188" s="57">
        <v>330</v>
      </c>
      <c r="F188" s="57" t="s">
        <v>1826</v>
      </c>
      <c r="G188" s="57" t="s">
        <v>1791</v>
      </c>
      <c r="X188" s="57" t="s">
        <v>1374</v>
      </c>
      <c r="Y188" s="58" t="s">
        <v>1827</v>
      </c>
    </row>
    <row r="189" spans="1:25" ht="15" customHeight="1" x14ac:dyDescent="0.15">
      <c r="A189" s="57" t="s">
        <v>1828</v>
      </c>
      <c r="B189" s="57" t="s">
        <v>1829</v>
      </c>
      <c r="C189" s="57" t="s">
        <v>1776</v>
      </c>
      <c r="D189" s="57" t="s">
        <v>1765</v>
      </c>
      <c r="E189" s="57">
        <v>307</v>
      </c>
      <c r="F189" s="57" t="s">
        <v>1830</v>
      </c>
      <c r="G189" s="57" t="s">
        <v>1767</v>
      </c>
      <c r="X189" s="57" t="s">
        <v>1374</v>
      </c>
      <c r="Y189" s="58" t="s">
        <v>1831</v>
      </c>
    </row>
    <row r="190" spans="1:25" ht="15" customHeight="1" x14ac:dyDescent="0.15">
      <c r="A190" s="57" t="s">
        <v>1832</v>
      </c>
      <c r="B190" s="57" t="s">
        <v>1833</v>
      </c>
      <c r="C190" s="57" t="s">
        <v>1834</v>
      </c>
      <c r="D190" s="57" t="s">
        <v>1835</v>
      </c>
      <c r="E190" s="57">
        <v>300</v>
      </c>
      <c r="F190" s="57" t="s">
        <v>1836</v>
      </c>
      <c r="G190" s="57" t="s">
        <v>1767</v>
      </c>
      <c r="X190" s="57" t="s">
        <v>1374</v>
      </c>
      <c r="Y190" s="58" t="s">
        <v>1837</v>
      </c>
    </row>
    <row r="192" spans="1:25" ht="15" customHeight="1" x14ac:dyDescent="0.15">
      <c r="A192" s="56" t="s">
        <v>1838</v>
      </c>
    </row>
    <row r="193" spans="1:43" ht="15" customHeight="1" x14ac:dyDescent="0.15">
      <c r="N193" s="58" t="s">
        <v>1839</v>
      </c>
    </row>
    <row r="194" spans="1:43" ht="15" customHeight="1" x14ac:dyDescent="0.15">
      <c r="A194" s="56" t="s">
        <v>277</v>
      </c>
      <c r="B194" s="100" t="s">
        <v>278</v>
      </c>
      <c r="C194" s="100" t="s">
        <v>279</v>
      </c>
      <c r="D194" s="100" t="s">
        <v>280</v>
      </c>
      <c r="E194" s="100" t="s">
        <v>281</v>
      </c>
      <c r="F194" s="100" t="s">
        <v>282</v>
      </c>
      <c r="G194" s="100" t="s">
        <v>283</v>
      </c>
      <c r="H194" s="100" t="s">
        <v>284</v>
      </c>
      <c r="I194" s="100" t="s">
        <v>285</v>
      </c>
      <c r="J194" s="100" t="s">
        <v>286</v>
      </c>
      <c r="K194" s="100" t="s">
        <v>287</v>
      </c>
      <c r="L194" s="100" t="s">
        <v>288</v>
      </c>
      <c r="M194" s="100" t="s">
        <v>289</v>
      </c>
      <c r="N194" s="100" t="s">
        <v>290</v>
      </c>
      <c r="O194" s="100" t="s">
        <v>291</v>
      </c>
      <c r="P194" s="100" t="s">
        <v>292</v>
      </c>
      <c r="Q194" s="100" t="s">
        <v>293</v>
      </c>
      <c r="R194" s="100" t="s">
        <v>294</v>
      </c>
      <c r="S194" s="100" t="s">
        <v>295</v>
      </c>
      <c r="T194" s="100" t="s">
        <v>296</v>
      </c>
      <c r="U194" s="100" t="s">
        <v>297</v>
      </c>
      <c r="V194" s="100" t="s">
        <v>298</v>
      </c>
      <c r="W194" s="100" t="s">
        <v>299</v>
      </c>
      <c r="X194" s="100" t="s">
        <v>300</v>
      </c>
      <c r="Y194" s="100" t="s">
        <v>301</v>
      </c>
      <c r="Z194" s="100" t="s">
        <v>302</v>
      </c>
      <c r="AA194" s="100" t="s">
        <v>303</v>
      </c>
      <c r="AB194" s="100" t="s">
        <v>304</v>
      </c>
      <c r="AC194" s="100" t="s">
        <v>305</v>
      </c>
      <c r="AD194" s="100" t="s">
        <v>306</v>
      </c>
      <c r="AE194" s="100" t="s">
        <v>307</v>
      </c>
      <c r="AF194" s="100" t="s">
        <v>308</v>
      </c>
      <c r="AG194" s="100" t="s">
        <v>309</v>
      </c>
      <c r="AH194" s="100" t="s">
        <v>310</v>
      </c>
      <c r="AI194" s="100" t="s">
        <v>311</v>
      </c>
      <c r="AJ194" s="100" t="s">
        <v>312</v>
      </c>
      <c r="AK194" s="100" t="s">
        <v>313</v>
      </c>
      <c r="AL194" s="100" t="s">
        <v>314</v>
      </c>
      <c r="AM194" s="100" t="s">
        <v>315</v>
      </c>
      <c r="AN194" s="100" t="s">
        <v>316</v>
      </c>
      <c r="AQ194" s="58" t="s">
        <v>1840</v>
      </c>
    </row>
    <row r="195" spans="1:43" ht="15" customHeight="1" x14ac:dyDescent="0.15">
      <c r="A195" s="56" t="s">
        <v>1841</v>
      </c>
      <c r="B195" s="115" t="s">
        <v>318</v>
      </c>
      <c r="C195" s="115" t="s">
        <v>319</v>
      </c>
      <c r="D195" s="115" t="s">
        <v>320</v>
      </c>
      <c r="E195" s="115" t="s">
        <v>321</v>
      </c>
      <c r="F195" s="115" t="s">
        <v>322</v>
      </c>
      <c r="G195" s="115" t="s">
        <v>323</v>
      </c>
      <c r="H195" s="115" t="s">
        <v>324</v>
      </c>
      <c r="I195" s="115" t="s">
        <v>325</v>
      </c>
      <c r="J195" s="115" t="s">
        <v>326</v>
      </c>
      <c r="K195" s="115" t="s">
        <v>327</v>
      </c>
      <c r="L195" s="115" t="s">
        <v>328</v>
      </c>
      <c r="M195" s="115" t="s">
        <v>329</v>
      </c>
      <c r="N195" s="115" t="s">
        <v>330</v>
      </c>
      <c r="O195" s="115" t="s">
        <v>331</v>
      </c>
      <c r="P195" s="115" t="s">
        <v>332</v>
      </c>
      <c r="Q195" s="115" t="s">
        <v>333</v>
      </c>
      <c r="R195" s="115" t="s">
        <v>334</v>
      </c>
      <c r="S195" s="115" t="s">
        <v>335</v>
      </c>
      <c r="T195" s="115" t="s">
        <v>336</v>
      </c>
      <c r="U195" s="115" t="s">
        <v>337</v>
      </c>
      <c r="V195" s="115" t="s">
        <v>338</v>
      </c>
      <c r="W195" s="115" t="s">
        <v>339</v>
      </c>
      <c r="X195" s="115" t="s">
        <v>340</v>
      </c>
      <c r="Y195" s="115" t="s">
        <v>341</v>
      </c>
      <c r="Z195" s="115" t="s">
        <v>342</v>
      </c>
      <c r="AA195" s="115" t="s">
        <v>343</v>
      </c>
      <c r="AB195" s="115" t="s">
        <v>344</v>
      </c>
      <c r="AC195" s="115" t="s">
        <v>345</v>
      </c>
      <c r="AD195" s="115" t="s">
        <v>346</v>
      </c>
      <c r="AE195" s="115" t="s">
        <v>347</v>
      </c>
      <c r="AF195" s="115" t="s">
        <v>348</v>
      </c>
      <c r="AG195" s="115" t="s">
        <v>349</v>
      </c>
      <c r="AH195" s="115" t="s">
        <v>350</v>
      </c>
      <c r="AI195" s="115" t="s">
        <v>351</v>
      </c>
      <c r="AJ195" s="115" t="s">
        <v>352</v>
      </c>
      <c r="AK195" s="115" t="s">
        <v>353</v>
      </c>
      <c r="AL195" s="115" t="s">
        <v>354</v>
      </c>
      <c r="AM195" s="115" t="s">
        <v>355</v>
      </c>
      <c r="AN195" s="115" t="s">
        <v>356</v>
      </c>
      <c r="AP195" s="56" t="s">
        <v>1465</v>
      </c>
      <c r="AQ195" s="56" t="s">
        <v>1466</v>
      </c>
    </row>
    <row r="196" spans="1:43" ht="15" customHeight="1" x14ac:dyDescent="0.15">
      <c r="A196" s="57" t="s">
        <v>358</v>
      </c>
      <c r="B196" s="100" t="s">
        <v>359</v>
      </c>
      <c r="C196" s="100" t="s">
        <v>359</v>
      </c>
      <c r="D196" s="100" t="s">
        <v>359</v>
      </c>
      <c r="E196" s="100" t="s">
        <v>359</v>
      </c>
      <c r="F196" s="100" t="s">
        <v>359</v>
      </c>
      <c r="G196" s="100" t="s">
        <v>359</v>
      </c>
      <c r="H196" s="100" t="s">
        <v>359</v>
      </c>
      <c r="I196" s="100" t="s">
        <v>359</v>
      </c>
      <c r="J196" s="100" t="s">
        <v>359</v>
      </c>
      <c r="K196" s="100" t="s">
        <v>359</v>
      </c>
      <c r="L196" s="100" t="s">
        <v>359</v>
      </c>
      <c r="M196" s="100" t="s">
        <v>359</v>
      </c>
      <c r="N196" s="100" t="s">
        <v>359</v>
      </c>
      <c r="O196" s="100" t="s">
        <v>359</v>
      </c>
      <c r="P196" s="100" t="s">
        <v>359</v>
      </c>
      <c r="Q196" s="100" t="s">
        <v>359</v>
      </c>
      <c r="R196" s="100" t="s">
        <v>359</v>
      </c>
      <c r="S196" s="100" t="s">
        <v>359</v>
      </c>
      <c r="T196" s="100" t="s">
        <v>359</v>
      </c>
      <c r="U196" s="100" t="s">
        <v>359</v>
      </c>
      <c r="V196" s="100" t="s">
        <v>359</v>
      </c>
      <c r="W196" s="100" t="s">
        <v>359</v>
      </c>
      <c r="X196" s="100" t="s">
        <v>359</v>
      </c>
      <c r="Y196" s="100" t="s">
        <v>359</v>
      </c>
      <c r="Z196" s="100" t="s">
        <v>359</v>
      </c>
      <c r="AA196" s="100" t="s">
        <v>359</v>
      </c>
      <c r="AB196" s="100" t="s">
        <v>359</v>
      </c>
      <c r="AC196" s="100" t="s">
        <v>359</v>
      </c>
      <c r="AD196" s="100" t="s">
        <v>359</v>
      </c>
      <c r="AE196" s="100" t="s">
        <v>359</v>
      </c>
      <c r="AF196" s="100" t="s">
        <v>359</v>
      </c>
      <c r="AG196" s="100" t="s">
        <v>359</v>
      </c>
      <c r="AH196" s="100" t="s">
        <v>359</v>
      </c>
      <c r="AI196" s="100" t="s">
        <v>359</v>
      </c>
      <c r="AJ196" s="100" t="s">
        <v>359</v>
      </c>
      <c r="AK196" s="100" t="s">
        <v>359</v>
      </c>
      <c r="AL196" s="100" t="s">
        <v>359</v>
      </c>
      <c r="AM196" s="100" t="s">
        <v>359</v>
      </c>
      <c r="AN196" s="100" t="s">
        <v>360</v>
      </c>
    </row>
    <row r="198" spans="1:43" ht="15" customHeight="1" x14ac:dyDescent="0.15">
      <c r="A198" s="57" t="s">
        <v>1842</v>
      </c>
      <c r="B198" s="334">
        <v>1900</v>
      </c>
      <c r="C198" s="334">
        <v>1950</v>
      </c>
      <c r="D198" s="334">
        <v>2350</v>
      </c>
      <c r="E198" s="334">
        <v>2650</v>
      </c>
      <c r="F198" s="334">
        <v>2900</v>
      </c>
      <c r="G198" s="334">
        <v>3100</v>
      </c>
      <c r="H198" s="334">
        <v>3250</v>
      </c>
      <c r="I198" s="334">
        <v>2700</v>
      </c>
      <c r="J198" s="334">
        <v>2200</v>
      </c>
      <c r="K198" s="334">
        <v>2550</v>
      </c>
      <c r="L198" s="334">
        <v>2900</v>
      </c>
      <c r="M198" s="334">
        <v>2950</v>
      </c>
      <c r="N198" s="334">
        <v>3000</v>
      </c>
      <c r="O198" s="334">
        <v>3650</v>
      </c>
      <c r="P198" s="334">
        <v>4400</v>
      </c>
      <c r="Q198" s="334">
        <v>4800</v>
      </c>
      <c r="R198" s="334">
        <v>5300</v>
      </c>
      <c r="S198" s="334">
        <v>6300</v>
      </c>
      <c r="T198" s="334">
        <v>6800</v>
      </c>
      <c r="U198" s="334">
        <v>7400</v>
      </c>
      <c r="V198" s="334">
        <v>8100</v>
      </c>
      <c r="W198" s="334">
        <v>8100</v>
      </c>
      <c r="X198" s="334">
        <v>5900</v>
      </c>
      <c r="Y198" s="334">
        <v>6000</v>
      </c>
      <c r="Z198" s="334">
        <v>6500</v>
      </c>
      <c r="AA198" s="334">
        <v>11000</v>
      </c>
      <c r="AB198" s="334">
        <v>16000</v>
      </c>
      <c r="AC198" s="334">
        <v>20000</v>
      </c>
      <c r="AD198" s="334">
        <v>24000</v>
      </c>
      <c r="AE198" s="334">
        <v>28000</v>
      </c>
      <c r="AF198" s="334">
        <v>32500</v>
      </c>
      <c r="AG198" s="334">
        <v>37500</v>
      </c>
      <c r="AH198" s="334">
        <v>43000</v>
      </c>
      <c r="AI198" s="334">
        <v>45000</v>
      </c>
      <c r="AJ198" s="334">
        <v>54000</v>
      </c>
      <c r="AK198" s="334">
        <v>65000</v>
      </c>
      <c r="AL198" s="334">
        <v>78000</v>
      </c>
      <c r="AM198" s="334">
        <v>91000</v>
      </c>
      <c r="AN198" s="334">
        <v>108000</v>
      </c>
      <c r="AP198" s="57" t="s">
        <v>1843</v>
      </c>
      <c r="AQ198" s="58" t="s">
        <v>1844</v>
      </c>
    </row>
    <row r="199" spans="1:43" ht="15" customHeight="1" x14ac:dyDescent="0.15">
      <c r="A199" s="57" t="s">
        <v>1845</v>
      </c>
      <c r="I199" s="334">
        <v>2200</v>
      </c>
      <c r="W199" s="334">
        <v>6700</v>
      </c>
      <c r="AP199" s="57" t="s">
        <v>1843</v>
      </c>
      <c r="AQ199" s="58" t="s">
        <v>1846</v>
      </c>
    </row>
    <row r="200" spans="1:43" ht="15" customHeight="1" x14ac:dyDescent="0.15">
      <c r="A200" s="57" t="s">
        <v>1847</v>
      </c>
      <c r="I200" s="254">
        <v>0.56000000000000005</v>
      </c>
      <c r="W200" s="254">
        <v>0.46100000000000002</v>
      </c>
      <c r="AP200" s="57" t="s">
        <v>1843</v>
      </c>
      <c r="AQ200" s="58" t="s">
        <v>1848</v>
      </c>
    </row>
    <row r="201" spans="1:43" ht="15" customHeight="1" x14ac:dyDescent="0.15">
      <c r="A201" s="57" t="s">
        <v>1849</v>
      </c>
      <c r="I201" s="254">
        <v>0.55000000000000004</v>
      </c>
      <c r="W201" s="254">
        <v>0.437</v>
      </c>
      <c r="AP201" s="57" t="s">
        <v>1843</v>
      </c>
      <c r="AQ201" s="58" t="s">
        <v>1850</v>
      </c>
    </row>
    <row r="202" spans="1:43" ht="15" customHeight="1" x14ac:dyDescent="0.15">
      <c r="A202" s="57" t="s">
        <v>1851</v>
      </c>
      <c r="W202" s="334">
        <v>2420</v>
      </c>
      <c r="AP202" s="57" t="s">
        <v>1843</v>
      </c>
      <c r="AQ202" s="58" t="s">
        <v>1852</v>
      </c>
    </row>
    <row r="203" spans="1:43" ht="15" customHeight="1" x14ac:dyDescent="0.15">
      <c r="A203" s="57" t="s">
        <v>1853</v>
      </c>
      <c r="I203" s="334">
        <v>25</v>
      </c>
      <c r="W203" s="334">
        <v>-16</v>
      </c>
      <c r="AP203" s="57" t="s">
        <v>1843</v>
      </c>
      <c r="AQ203" s="58" t="s">
        <v>1854</v>
      </c>
    </row>
    <row r="204" spans="1:43" ht="15" customHeight="1" x14ac:dyDescent="0.15">
      <c r="A204" s="57" t="s">
        <v>1855</v>
      </c>
      <c r="I204" s="254">
        <v>0.06</v>
      </c>
      <c r="AP204" s="57" t="s">
        <v>1843</v>
      </c>
      <c r="AQ204" s="58" t="s">
        <v>1856</v>
      </c>
    </row>
    <row r="205" spans="1:43" ht="15" customHeight="1" x14ac:dyDescent="0.15">
      <c r="A205" s="57" t="s">
        <v>1857</v>
      </c>
      <c r="B205" s="254">
        <v>0.02</v>
      </c>
      <c r="C205" s="254">
        <v>0.02</v>
      </c>
      <c r="D205" s="254">
        <v>0.02</v>
      </c>
      <c r="E205" s="254">
        <v>0.02</v>
      </c>
      <c r="F205" s="254">
        <v>0.02</v>
      </c>
      <c r="G205" s="254">
        <v>0.02</v>
      </c>
      <c r="H205" s="254">
        <v>0.02</v>
      </c>
      <c r="I205" s="254">
        <v>0.02</v>
      </c>
      <c r="J205" s="254">
        <v>0.02</v>
      </c>
      <c r="K205" s="254">
        <v>0.02</v>
      </c>
      <c r="L205" s="254">
        <v>0.02</v>
      </c>
      <c r="M205" s="254">
        <v>0.02</v>
      </c>
      <c r="N205" s="254">
        <v>0.02</v>
      </c>
      <c r="O205" s="254">
        <v>0.02</v>
      </c>
      <c r="P205" s="254">
        <v>0.02</v>
      </c>
      <c r="Q205" s="254">
        <v>0.02</v>
      </c>
      <c r="R205" s="254">
        <v>0.02</v>
      </c>
      <c r="S205" s="254">
        <v>0.02</v>
      </c>
      <c r="T205" s="254">
        <v>0.02</v>
      </c>
      <c r="U205" s="254">
        <v>0.02</v>
      </c>
      <c r="V205" s="254">
        <v>0.02</v>
      </c>
      <c r="W205" s="254">
        <v>0.02</v>
      </c>
      <c r="X205" s="254">
        <v>0.02</v>
      </c>
      <c r="Y205" s="254">
        <v>0.02</v>
      </c>
      <c r="Z205" s="254">
        <v>0.02</v>
      </c>
      <c r="AA205" s="254">
        <v>0.02</v>
      </c>
      <c r="AB205" s="254">
        <v>0.02</v>
      </c>
      <c r="AC205" s="254">
        <v>0.02</v>
      </c>
      <c r="AD205" s="254">
        <v>0.02</v>
      </c>
      <c r="AE205" s="254">
        <v>0.02</v>
      </c>
      <c r="AF205" s="254">
        <v>0.02</v>
      </c>
      <c r="AG205" s="254">
        <v>0.02</v>
      </c>
      <c r="AH205" s="254">
        <v>0.02</v>
      </c>
      <c r="AI205" s="254">
        <v>0.02</v>
      </c>
      <c r="AJ205" s="254">
        <v>0.02</v>
      </c>
      <c r="AK205" s="254">
        <v>0.02</v>
      </c>
      <c r="AL205" s="254">
        <v>0.02</v>
      </c>
      <c r="AM205" s="254">
        <v>0.02</v>
      </c>
      <c r="AN205" s="254">
        <v>0.02</v>
      </c>
      <c r="AP205" s="57" t="s">
        <v>1843</v>
      </c>
      <c r="AQ205" s="58" t="s">
        <v>1858</v>
      </c>
    </row>
    <row r="206" spans="1:43" ht="15" customHeight="1" x14ac:dyDescent="0.15">
      <c r="A206" s="57" t="s">
        <v>1859</v>
      </c>
      <c r="B206" s="334">
        <v>1937</v>
      </c>
      <c r="C206" s="334">
        <v>2230</v>
      </c>
      <c r="D206" s="334">
        <v>2636</v>
      </c>
      <c r="E206" s="334">
        <v>2911</v>
      </c>
      <c r="F206" s="334">
        <v>3207</v>
      </c>
      <c r="G206" s="334">
        <v>3123</v>
      </c>
      <c r="H206" s="334">
        <v>3181</v>
      </c>
      <c r="I206" s="334">
        <v>2205</v>
      </c>
      <c r="J206" s="334">
        <v>2220</v>
      </c>
      <c r="K206" s="334">
        <v>2579</v>
      </c>
      <c r="L206" s="334">
        <v>3014</v>
      </c>
      <c r="M206" s="334">
        <v>3105</v>
      </c>
      <c r="N206" s="334">
        <v>3080</v>
      </c>
      <c r="O206" s="334">
        <v>3866</v>
      </c>
      <c r="P206" s="334">
        <v>4726</v>
      </c>
      <c r="Q206" s="334">
        <v>5003</v>
      </c>
      <c r="R206" s="334">
        <v>5661</v>
      </c>
      <c r="S206" s="334">
        <v>6507</v>
      </c>
      <c r="T206" s="334">
        <v>7103</v>
      </c>
      <c r="U206" s="334">
        <v>7643</v>
      </c>
      <c r="V206" s="334">
        <v>8288</v>
      </c>
      <c r="W206" s="334">
        <v>6704</v>
      </c>
      <c r="X206" s="334">
        <v>5931</v>
      </c>
      <c r="Y206" s="334">
        <v>6051</v>
      </c>
      <c r="Z206" s="334">
        <v>7192</v>
      </c>
      <c r="AA206" s="334">
        <v>13507</v>
      </c>
      <c r="AB206" s="334">
        <v>18120</v>
      </c>
      <c r="AC206" s="334">
        <v>22103</v>
      </c>
      <c r="AD206" s="334">
        <v>26044</v>
      </c>
      <c r="AE206" s="334">
        <v>30040</v>
      </c>
      <c r="AF206" s="334">
        <v>35082</v>
      </c>
      <c r="AG206" s="334">
        <v>39331</v>
      </c>
      <c r="AH206" s="334">
        <v>44062</v>
      </c>
      <c r="AI206" s="334">
        <v>46743</v>
      </c>
      <c r="AJ206" s="334">
        <v>57006</v>
      </c>
      <c r="AK206" s="334">
        <v>68127</v>
      </c>
      <c r="AL206" s="334">
        <v>81615</v>
      </c>
      <c r="AM206" s="334">
        <v>96221</v>
      </c>
      <c r="AP206" s="57" t="s">
        <v>1860</v>
      </c>
      <c r="AQ206" s="58" t="s">
        <v>1861</v>
      </c>
    </row>
    <row r="207" spans="1:43" ht="15" customHeight="1" x14ac:dyDescent="0.15">
      <c r="A207" s="57" t="s">
        <v>1862</v>
      </c>
      <c r="B207" s="254">
        <v>0.59699999999999998</v>
      </c>
      <c r="C207" s="254">
        <v>0.58599999999999997</v>
      </c>
      <c r="D207" s="254">
        <v>0.58799999999999997</v>
      </c>
      <c r="E207" s="254">
        <v>0.6</v>
      </c>
      <c r="F207" s="254">
        <v>0.63</v>
      </c>
      <c r="G207" s="254">
        <v>0.63500000000000001</v>
      </c>
      <c r="H207" s="254">
        <v>0.628</v>
      </c>
      <c r="I207" s="254">
        <v>0.625</v>
      </c>
      <c r="J207" s="254">
        <v>0.59</v>
      </c>
      <c r="K207" s="254">
        <v>0.59499999999999997</v>
      </c>
      <c r="L207" s="254">
        <v>0.625</v>
      </c>
      <c r="M207" s="254">
        <v>0.64500000000000002</v>
      </c>
      <c r="N207" s="254">
        <v>0.65400000000000003</v>
      </c>
      <c r="O207" s="254">
        <v>0.66</v>
      </c>
      <c r="P207" s="254">
        <v>0.65500000000000003</v>
      </c>
      <c r="Q207" s="254">
        <v>0.65500000000000003</v>
      </c>
      <c r="R207" s="254">
        <v>0.66</v>
      </c>
      <c r="S207" s="254">
        <v>0.66500000000000004</v>
      </c>
      <c r="T207" s="254">
        <v>0.67</v>
      </c>
      <c r="U207" s="254">
        <v>0.67</v>
      </c>
      <c r="V207" s="254">
        <v>0.67</v>
      </c>
      <c r="W207" s="254">
        <v>0.67100000000000004</v>
      </c>
      <c r="X207" s="254">
        <v>0.65</v>
      </c>
      <c r="Y207" s="254">
        <v>0.66</v>
      </c>
      <c r="Z207" s="254">
        <v>0.66500000000000004</v>
      </c>
      <c r="AA207" s="254">
        <v>0.7</v>
      </c>
      <c r="AB207" s="254">
        <v>0.72499999999999998</v>
      </c>
      <c r="AC207" s="254">
        <v>0.755</v>
      </c>
      <c r="AD207" s="254">
        <v>0.77</v>
      </c>
      <c r="AE207" s="254">
        <v>0.755</v>
      </c>
      <c r="AF207" s="254">
        <v>0.75</v>
      </c>
      <c r="AG207" s="254">
        <v>0.73499999999999999</v>
      </c>
      <c r="AH207" s="254">
        <v>0.71</v>
      </c>
      <c r="AI207" s="254">
        <v>0.72</v>
      </c>
      <c r="AJ207" s="254">
        <v>0.73499999999999999</v>
      </c>
      <c r="AK207" s="254">
        <v>0.75</v>
      </c>
      <c r="AL207" s="254">
        <v>0.75</v>
      </c>
      <c r="AM207" s="254">
        <v>0.75</v>
      </c>
      <c r="AN207" s="254">
        <v>0.74</v>
      </c>
      <c r="AP207" s="57" t="s">
        <v>1843</v>
      </c>
      <c r="AQ207" s="58" t="s">
        <v>1863</v>
      </c>
    </row>
    <row r="208" spans="1:43" ht="15" customHeight="1" x14ac:dyDescent="0.15">
      <c r="A208" s="57" t="s">
        <v>1864</v>
      </c>
      <c r="B208" s="254">
        <v>0.59499999999999997</v>
      </c>
      <c r="C208" s="254">
        <v>0.58399999999999996</v>
      </c>
      <c r="D208" s="254">
        <v>0.58599999999999997</v>
      </c>
      <c r="E208" s="254">
        <v>0.59699999999999998</v>
      </c>
      <c r="F208" s="254">
        <v>0.627</v>
      </c>
      <c r="G208" s="254">
        <v>0.63300000000000001</v>
      </c>
      <c r="H208" s="254">
        <v>0.626</v>
      </c>
      <c r="I208" s="254">
        <v>0.623</v>
      </c>
      <c r="J208" s="254">
        <v>0.58799999999999997</v>
      </c>
      <c r="K208" s="254">
        <v>0.59199999999999997</v>
      </c>
      <c r="L208" s="254">
        <v>0.62</v>
      </c>
      <c r="M208" s="254">
        <v>0.64100000000000001</v>
      </c>
      <c r="N208" s="254">
        <v>0.65</v>
      </c>
      <c r="O208" s="254">
        <v>0.58599999999999997</v>
      </c>
      <c r="P208" s="254">
        <v>0.625</v>
      </c>
      <c r="Q208" s="254">
        <v>0.628</v>
      </c>
      <c r="R208" s="254">
        <v>0.63800000000000001</v>
      </c>
      <c r="S208" s="254">
        <v>0.64600000000000002</v>
      </c>
      <c r="T208" s="254">
        <v>0.65200000000000002</v>
      </c>
      <c r="U208" s="254">
        <v>0.65300000000000002</v>
      </c>
      <c r="V208" s="254">
        <v>0.65200000000000002</v>
      </c>
      <c r="W208" s="254">
        <v>0.65100000000000002</v>
      </c>
      <c r="X208" s="254">
        <v>0.624</v>
      </c>
      <c r="Y208" s="254">
        <v>0.63200000000000001</v>
      </c>
      <c r="Z208" s="254">
        <v>0.64100000000000001</v>
      </c>
      <c r="AA208" s="254">
        <v>0.68600000000000005</v>
      </c>
      <c r="AB208" s="254">
        <v>0.71499999999999997</v>
      </c>
      <c r="AC208" s="254">
        <v>0.745</v>
      </c>
      <c r="AD208" s="254">
        <v>0.76300000000000001</v>
      </c>
      <c r="AE208" s="254">
        <v>0.748</v>
      </c>
      <c r="AF208" s="254">
        <v>0.74399999999999999</v>
      </c>
      <c r="AG208" s="254">
        <v>0.73</v>
      </c>
      <c r="AH208" s="254">
        <v>0.70599999999999996</v>
      </c>
      <c r="AI208" s="254">
        <v>0.71799999999999997</v>
      </c>
      <c r="AJ208" s="254">
        <v>0.73299999999999998</v>
      </c>
      <c r="AK208" s="254">
        <v>0.748</v>
      </c>
      <c r="AL208" s="254">
        <v>0.749</v>
      </c>
      <c r="AM208" s="254">
        <v>0.749</v>
      </c>
      <c r="AN208" s="254">
        <v>0.74</v>
      </c>
      <c r="AP208" s="57" t="s">
        <v>1843</v>
      </c>
      <c r="AQ208" s="58" t="s">
        <v>1863</v>
      </c>
    </row>
    <row r="209" spans="1:43" ht="15" customHeight="1" x14ac:dyDescent="0.15">
      <c r="A209" s="57" t="s">
        <v>1865</v>
      </c>
      <c r="B209" s="254">
        <v>5.0000000000000001E-3</v>
      </c>
      <c r="C209" s="254">
        <v>5.0000000000000001E-3</v>
      </c>
      <c r="D209" s="254">
        <v>5.0000000000000001E-3</v>
      </c>
      <c r="E209" s="254">
        <v>5.0000000000000001E-3</v>
      </c>
      <c r="F209" s="254">
        <v>5.0000000000000001E-3</v>
      </c>
      <c r="G209" s="254">
        <v>5.0000000000000001E-3</v>
      </c>
      <c r="H209" s="254">
        <v>5.0000000000000001E-3</v>
      </c>
      <c r="I209" s="254">
        <v>0.01</v>
      </c>
      <c r="J209" s="254">
        <v>5.0000000000000001E-3</v>
      </c>
      <c r="K209" s="254">
        <v>5.0000000000000001E-3</v>
      </c>
      <c r="L209" s="254">
        <v>5.0000000000000001E-3</v>
      </c>
      <c r="M209" s="254">
        <v>5.0000000000000001E-3</v>
      </c>
      <c r="N209" s="254">
        <v>5.0000000000000001E-3</v>
      </c>
      <c r="O209" s="254">
        <v>5.0000000000000001E-3</v>
      </c>
      <c r="P209" s="254">
        <v>5.0000000000000001E-3</v>
      </c>
      <c r="Q209" s="254">
        <v>5.0000000000000001E-3</v>
      </c>
      <c r="R209" s="254">
        <v>5.0000000000000001E-3</v>
      </c>
      <c r="S209" s="254">
        <v>5.0000000000000001E-3</v>
      </c>
      <c r="T209" s="254">
        <v>5.0000000000000001E-3</v>
      </c>
      <c r="U209" s="254">
        <v>5.0000000000000001E-3</v>
      </c>
      <c r="V209" s="254">
        <v>5.0000000000000001E-3</v>
      </c>
      <c r="W209" s="254">
        <v>5.0000000000000001E-3</v>
      </c>
      <c r="X209" s="254">
        <v>5.0000000000000001E-3</v>
      </c>
      <c r="Y209" s="254">
        <v>5.0000000000000001E-3</v>
      </c>
      <c r="Z209" s="254">
        <v>5.0000000000000001E-3</v>
      </c>
      <c r="AA209" s="254">
        <v>5.0000000000000001E-3</v>
      </c>
      <c r="AB209" s="254">
        <v>5.0000000000000001E-3</v>
      </c>
      <c r="AC209" s="254">
        <v>5.0000000000000001E-3</v>
      </c>
      <c r="AD209" s="254">
        <v>5.0000000000000001E-3</v>
      </c>
      <c r="AE209" s="254">
        <v>5.0000000000000001E-3</v>
      </c>
      <c r="AF209" s="254">
        <v>5.0000000000000001E-3</v>
      </c>
      <c r="AG209" s="254">
        <v>5.0000000000000001E-3</v>
      </c>
      <c r="AH209" s="254">
        <v>5.0000000000000001E-3</v>
      </c>
      <c r="AI209" s="254">
        <v>5.0000000000000001E-3</v>
      </c>
      <c r="AJ209" s="254">
        <v>5.0000000000000001E-3</v>
      </c>
      <c r="AK209" s="254">
        <v>5.0000000000000001E-3</v>
      </c>
      <c r="AL209" s="254">
        <v>5.0000000000000001E-3</v>
      </c>
      <c r="AM209" s="254">
        <v>5.0000000000000001E-3</v>
      </c>
      <c r="AN209" s="254">
        <v>5.0000000000000001E-3</v>
      </c>
      <c r="AP209" s="57" t="s">
        <v>1843</v>
      </c>
      <c r="AQ209" s="58" t="s">
        <v>1866</v>
      </c>
    </row>
    <row r="210" spans="1:43" ht="15" customHeight="1" x14ac:dyDescent="0.15">
      <c r="A210" s="57" t="s">
        <v>1867</v>
      </c>
      <c r="B210" s="254">
        <v>0.59599999999999997</v>
      </c>
      <c r="C210" s="254">
        <v>0.58599999999999997</v>
      </c>
      <c r="D210" s="254">
        <v>0.59699999999999998</v>
      </c>
      <c r="E210" s="254">
        <v>0.621</v>
      </c>
      <c r="F210" s="254">
        <v>0.64700000000000002</v>
      </c>
      <c r="G210" s="254">
        <v>0.63500000000000001</v>
      </c>
      <c r="H210" s="254">
        <v>0.61</v>
      </c>
      <c r="I210" s="254">
        <v>0.56000000000000005</v>
      </c>
      <c r="J210" s="254">
        <v>0.59</v>
      </c>
      <c r="K210" s="254">
        <v>0.60099999999999998</v>
      </c>
      <c r="L210" s="254">
        <v>0.64100000000000001</v>
      </c>
      <c r="M210" s="254">
        <v>0.65400000000000003</v>
      </c>
      <c r="N210" s="254">
        <v>0.65800000000000003</v>
      </c>
      <c r="O210" s="254">
        <v>0.66</v>
      </c>
      <c r="P210" s="254">
        <v>0.65500000000000003</v>
      </c>
      <c r="Q210" s="254">
        <v>0.65500000000000003</v>
      </c>
      <c r="R210" s="254">
        <v>0.66200000000000003</v>
      </c>
      <c r="S210" s="254">
        <v>0.66700000000000004</v>
      </c>
      <c r="T210" s="254">
        <v>0.67</v>
      </c>
      <c r="U210" s="254">
        <v>0.67</v>
      </c>
      <c r="V210" s="254">
        <v>0.67100000000000004</v>
      </c>
      <c r="W210" s="254">
        <v>0.45900000000000002</v>
      </c>
      <c r="X210" s="254">
        <v>0.56100000000000005</v>
      </c>
      <c r="Y210" s="254">
        <v>0.66100000000000003</v>
      </c>
      <c r="Z210" s="254">
        <v>0.66800000000000004</v>
      </c>
      <c r="AA210" s="254">
        <v>0.71199999999999997</v>
      </c>
      <c r="AB210" s="254">
        <v>0.75</v>
      </c>
      <c r="AC210" s="254">
        <v>0.76700000000000002</v>
      </c>
      <c r="AD210" s="254">
        <v>0.78900000000000003</v>
      </c>
      <c r="AE210" s="254">
        <v>0.75700000000000001</v>
      </c>
      <c r="AF210" s="254">
        <v>0.75</v>
      </c>
      <c r="AG210" s="254">
        <v>0.73499999999999999</v>
      </c>
      <c r="AH210" s="254">
        <v>0.61</v>
      </c>
      <c r="AI210" s="254">
        <v>0.72699999999999998</v>
      </c>
      <c r="AJ210" s="254">
        <v>0.73599999999999999</v>
      </c>
      <c r="AK210" s="254">
        <v>0.752</v>
      </c>
      <c r="AL210" s="254">
        <v>0.75</v>
      </c>
      <c r="AM210" s="254">
        <v>0.75</v>
      </c>
      <c r="AP210" s="57" t="s">
        <v>1868</v>
      </c>
      <c r="AQ210" s="58" t="s">
        <v>1869</v>
      </c>
    </row>
    <row r="211" spans="1:43" ht="15" customHeight="1" x14ac:dyDescent="0.15">
      <c r="A211" s="57" t="s">
        <v>1870</v>
      </c>
      <c r="B211" s="334">
        <v>1150</v>
      </c>
      <c r="C211" s="334">
        <v>1302</v>
      </c>
      <c r="D211" s="334">
        <v>1569</v>
      </c>
      <c r="E211" s="334">
        <v>1801</v>
      </c>
      <c r="F211" s="334">
        <v>2068</v>
      </c>
      <c r="G211" s="334">
        <v>1975</v>
      </c>
      <c r="H211" s="334">
        <v>1921</v>
      </c>
      <c r="I211" s="334">
        <v>1207</v>
      </c>
      <c r="J211" s="334">
        <v>1296</v>
      </c>
      <c r="K211" s="334">
        <v>1541</v>
      </c>
      <c r="L211" s="334">
        <v>1916</v>
      </c>
      <c r="M211" s="334">
        <v>2015</v>
      </c>
      <c r="N211" s="334">
        <v>2004</v>
      </c>
      <c r="O211" s="334">
        <v>2275</v>
      </c>
      <c r="P211" s="334">
        <v>2960</v>
      </c>
      <c r="Q211" s="334">
        <v>3156</v>
      </c>
      <c r="R211" s="334">
        <v>3629</v>
      </c>
      <c r="S211" s="334">
        <v>4215</v>
      </c>
      <c r="T211" s="334">
        <v>4631</v>
      </c>
      <c r="U211" s="334">
        <v>4999</v>
      </c>
      <c r="V211" s="334">
        <v>5431</v>
      </c>
      <c r="W211" s="334">
        <v>2915</v>
      </c>
      <c r="X211" s="334">
        <v>3177</v>
      </c>
      <c r="Y211" s="334">
        <v>3833</v>
      </c>
      <c r="Z211" s="334">
        <v>4648</v>
      </c>
      <c r="AA211" s="334">
        <v>9462</v>
      </c>
      <c r="AB211" s="334">
        <v>13400</v>
      </c>
      <c r="AC211" s="334">
        <v>16791</v>
      </c>
      <c r="AD211" s="334">
        <v>20406</v>
      </c>
      <c r="AE211" s="334">
        <v>22574</v>
      </c>
      <c r="AF211" s="334">
        <v>26156</v>
      </c>
      <c r="AG211" s="334">
        <v>28723</v>
      </c>
      <c r="AH211" s="334">
        <v>26668</v>
      </c>
      <c r="AI211" s="334">
        <v>33853</v>
      </c>
      <c r="AJ211" s="334">
        <v>41849</v>
      </c>
      <c r="AK211" s="334">
        <v>51093</v>
      </c>
      <c r="AL211" s="334">
        <v>61157</v>
      </c>
      <c r="AM211" s="334">
        <v>72142</v>
      </c>
      <c r="AP211" s="57" t="s">
        <v>1860</v>
      </c>
      <c r="AQ211" s="58" t="s">
        <v>1871</v>
      </c>
    </row>
    <row r="212" spans="1:43" ht="15" customHeight="1" x14ac:dyDescent="0.15">
      <c r="A212" s="57" t="s">
        <v>1872</v>
      </c>
      <c r="B212" s="334">
        <v>520</v>
      </c>
      <c r="C212" s="334">
        <v>530</v>
      </c>
      <c r="D212" s="334">
        <v>570</v>
      </c>
      <c r="E212" s="334">
        <v>600</v>
      </c>
      <c r="F212" s="334">
        <v>645</v>
      </c>
      <c r="G212" s="334">
        <v>685</v>
      </c>
      <c r="H212" s="334">
        <v>730</v>
      </c>
      <c r="I212" s="334">
        <v>755</v>
      </c>
      <c r="J212" s="334">
        <v>755</v>
      </c>
      <c r="K212" s="334">
        <v>765</v>
      </c>
      <c r="L212" s="334">
        <v>765</v>
      </c>
      <c r="M212" s="334">
        <v>805</v>
      </c>
      <c r="N212" s="334">
        <v>835</v>
      </c>
      <c r="O212" s="334">
        <v>1040</v>
      </c>
      <c r="P212" s="334">
        <v>1090</v>
      </c>
      <c r="Q212" s="334">
        <v>1180</v>
      </c>
      <c r="R212" s="334">
        <v>1200</v>
      </c>
      <c r="S212" s="334">
        <v>1260</v>
      </c>
      <c r="T212" s="334">
        <v>1370</v>
      </c>
      <c r="U212" s="334">
        <v>1430</v>
      </c>
      <c r="V212" s="334">
        <v>1600</v>
      </c>
      <c r="W212" s="334">
        <v>1750</v>
      </c>
      <c r="X212" s="334">
        <v>1820</v>
      </c>
      <c r="Y212" s="334">
        <v>1780</v>
      </c>
      <c r="Z212" s="334">
        <v>1780</v>
      </c>
      <c r="AA212" s="334">
        <v>1900</v>
      </c>
      <c r="AB212" s="334">
        <v>2000</v>
      </c>
      <c r="AC212" s="334">
        <v>2200</v>
      </c>
      <c r="AD212" s="334">
        <v>2500</v>
      </c>
      <c r="AE212" s="334">
        <v>2800</v>
      </c>
      <c r="AF212" s="334">
        <v>3000</v>
      </c>
      <c r="AG212" s="334">
        <v>3400</v>
      </c>
      <c r="AH212" s="334">
        <v>3600</v>
      </c>
      <c r="AI212" s="334">
        <v>4000</v>
      </c>
      <c r="AJ212" s="334">
        <v>4200</v>
      </c>
      <c r="AK212" s="334">
        <v>5000</v>
      </c>
      <c r="AL212" s="334">
        <v>7500</v>
      </c>
      <c r="AM212" s="334">
        <v>8300</v>
      </c>
      <c r="AN212" s="334">
        <v>9000</v>
      </c>
      <c r="AP212" s="57" t="s">
        <v>1843</v>
      </c>
      <c r="AQ212" s="58" t="s">
        <v>1873</v>
      </c>
    </row>
    <row r="213" spans="1:43" ht="15" customHeight="1" x14ac:dyDescent="0.15">
      <c r="A213" s="57" t="s">
        <v>1874</v>
      </c>
      <c r="B213" s="334">
        <v>517</v>
      </c>
      <c r="C213" s="334">
        <v>533</v>
      </c>
      <c r="D213" s="334">
        <v>570</v>
      </c>
      <c r="E213" s="334">
        <v>607</v>
      </c>
      <c r="F213" s="334">
        <v>648</v>
      </c>
      <c r="G213" s="334">
        <v>692</v>
      </c>
      <c r="H213" s="334">
        <v>730</v>
      </c>
      <c r="I213" s="334">
        <v>755</v>
      </c>
      <c r="J213" s="334">
        <v>753</v>
      </c>
      <c r="K213" s="334">
        <v>749</v>
      </c>
      <c r="L213" s="334">
        <v>774</v>
      </c>
      <c r="M213" s="334">
        <v>810</v>
      </c>
      <c r="N213" s="334">
        <v>821</v>
      </c>
      <c r="O213" s="334">
        <v>1035</v>
      </c>
      <c r="P213" s="334">
        <v>1101</v>
      </c>
      <c r="Q213" s="334">
        <v>1187</v>
      </c>
      <c r="R213" s="334">
        <v>1189</v>
      </c>
      <c r="S213" s="334">
        <v>1266</v>
      </c>
      <c r="T213" s="334">
        <v>1375</v>
      </c>
      <c r="U213" s="334">
        <v>1447</v>
      </c>
      <c r="V213" s="334">
        <v>1608</v>
      </c>
      <c r="W213" s="334">
        <v>1749</v>
      </c>
      <c r="X213" s="334">
        <v>1793</v>
      </c>
      <c r="Y213" s="334">
        <v>1775</v>
      </c>
      <c r="Z213" s="334">
        <v>1750</v>
      </c>
      <c r="AA213" s="334">
        <v>1838</v>
      </c>
      <c r="AB213" s="334">
        <v>2026</v>
      </c>
      <c r="AC213" s="334">
        <v>2210</v>
      </c>
      <c r="AD213" s="334">
        <v>2501</v>
      </c>
      <c r="AE213" s="334">
        <v>2792</v>
      </c>
      <c r="AF213" s="334">
        <v>3046</v>
      </c>
      <c r="AG213" s="334">
        <v>3378</v>
      </c>
      <c r="AH213" s="334">
        <v>3583</v>
      </c>
      <c r="AI213" s="334">
        <v>3795</v>
      </c>
      <c r="AJ213" s="334">
        <v>4215</v>
      </c>
      <c r="AK213" s="334">
        <v>5102</v>
      </c>
      <c r="AL213" s="334">
        <v>7449</v>
      </c>
      <c r="AM213" s="334">
        <v>8232</v>
      </c>
      <c r="AP213" s="57" t="s">
        <v>1868</v>
      </c>
      <c r="AQ213" s="58" t="s">
        <v>1875</v>
      </c>
    </row>
    <row r="214" spans="1:43" ht="15" customHeight="1" x14ac:dyDescent="0.15">
      <c r="A214" s="57" t="s">
        <v>1876</v>
      </c>
      <c r="B214" s="334">
        <v>603</v>
      </c>
      <c r="C214" s="334">
        <v>605</v>
      </c>
      <c r="D214" s="334">
        <v>672</v>
      </c>
      <c r="E214" s="334">
        <v>722</v>
      </c>
      <c r="F214" s="334">
        <v>770</v>
      </c>
      <c r="G214" s="334">
        <v>810</v>
      </c>
      <c r="H214" s="334">
        <v>870</v>
      </c>
      <c r="I214" s="334">
        <v>915</v>
      </c>
      <c r="J214" s="334">
        <v>930</v>
      </c>
      <c r="K214" s="334">
        <v>985</v>
      </c>
      <c r="L214" s="334">
        <v>980</v>
      </c>
      <c r="M214" s="334">
        <v>1020</v>
      </c>
      <c r="N214" s="334">
        <v>1050</v>
      </c>
      <c r="O214" s="334">
        <v>1520</v>
      </c>
      <c r="P214" s="334">
        <v>1540</v>
      </c>
      <c r="Q214" s="334">
        <v>1640</v>
      </c>
      <c r="R214" s="334">
        <v>1670</v>
      </c>
      <c r="S214" s="334">
        <v>1760</v>
      </c>
      <c r="T214" s="334">
        <v>1960</v>
      </c>
      <c r="U214" s="334">
        <v>2020</v>
      </c>
      <c r="V214" s="334">
        <v>3550</v>
      </c>
      <c r="W214" s="334">
        <v>2460</v>
      </c>
      <c r="X214" s="334">
        <v>2590</v>
      </c>
      <c r="Y214" s="334">
        <v>2560</v>
      </c>
      <c r="Z214" s="334">
        <v>2530</v>
      </c>
      <c r="AA214" s="334">
        <v>2710</v>
      </c>
      <c r="AB214" s="334">
        <v>2950</v>
      </c>
      <c r="AC214" s="334">
        <v>3170</v>
      </c>
      <c r="AD214" s="334">
        <v>3500</v>
      </c>
      <c r="AE214" s="334">
        <v>4000</v>
      </c>
      <c r="AF214" s="334">
        <v>4300</v>
      </c>
      <c r="AG214" s="334">
        <v>4800</v>
      </c>
      <c r="AH214" s="334">
        <v>5200</v>
      </c>
      <c r="AI214" s="334">
        <v>5700</v>
      </c>
      <c r="AJ214" s="334">
        <v>5900</v>
      </c>
      <c r="AK214" s="334">
        <v>6700</v>
      </c>
      <c r="AL214" s="334">
        <v>7700</v>
      </c>
      <c r="AM214" s="334">
        <v>8500</v>
      </c>
      <c r="AN214" s="334">
        <v>9200</v>
      </c>
      <c r="AP214" s="57" t="s">
        <v>1843</v>
      </c>
      <c r="AQ214" s="58" t="s">
        <v>1877</v>
      </c>
    </row>
    <row r="215" spans="1:43" ht="15" customHeight="1" x14ac:dyDescent="0.15">
      <c r="A215" s="57" t="s">
        <v>1878</v>
      </c>
      <c r="B215" s="334">
        <v>596</v>
      </c>
      <c r="C215" s="334">
        <v>614</v>
      </c>
      <c r="D215" s="334">
        <v>674</v>
      </c>
      <c r="E215" s="334">
        <v>728</v>
      </c>
      <c r="F215" s="334">
        <v>773</v>
      </c>
      <c r="G215" s="334">
        <v>818</v>
      </c>
      <c r="H215" s="334">
        <v>863</v>
      </c>
      <c r="I215" s="334">
        <v>913</v>
      </c>
      <c r="J215" s="334">
        <v>938</v>
      </c>
      <c r="K215" s="334">
        <v>970</v>
      </c>
      <c r="L215" s="334">
        <v>989</v>
      </c>
      <c r="M215" s="334">
        <v>1025</v>
      </c>
      <c r="N215" s="334">
        <v>1028</v>
      </c>
      <c r="O215" s="334">
        <v>1624</v>
      </c>
      <c r="P215" s="334">
        <v>1562</v>
      </c>
      <c r="Q215" s="334">
        <v>1649</v>
      </c>
      <c r="R215" s="334">
        <v>1673</v>
      </c>
      <c r="S215" s="334">
        <v>1771</v>
      </c>
      <c r="T215" s="334">
        <v>1960</v>
      </c>
      <c r="U215" s="334">
        <v>2029</v>
      </c>
      <c r="V215" s="334">
        <v>3563</v>
      </c>
      <c r="W215" s="334">
        <v>2416</v>
      </c>
      <c r="X215" s="334">
        <v>2576</v>
      </c>
      <c r="Y215" s="334">
        <v>2577</v>
      </c>
      <c r="Z215" s="334">
        <v>2508</v>
      </c>
      <c r="AA215" s="334">
        <v>2662</v>
      </c>
      <c r="AB215" s="334">
        <v>2983</v>
      </c>
      <c r="AC215" s="334">
        <v>3177</v>
      </c>
      <c r="AD215" s="334">
        <v>3497</v>
      </c>
      <c r="AE215" s="334">
        <v>3932</v>
      </c>
      <c r="AF215" s="334">
        <v>4287</v>
      </c>
      <c r="AG215" s="334">
        <v>4689</v>
      </c>
      <c r="AH215" s="334">
        <v>5030</v>
      </c>
      <c r="AI215" s="334">
        <v>5413</v>
      </c>
      <c r="AJ215" s="334">
        <v>5839</v>
      </c>
      <c r="AK215" s="334">
        <v>6794</v>
      </c>
      <c r="AL215" s="334">
        <v>7621</v>
      </c>
      <c r="AM215" s="334">
        <v>8408</v>
      </c>
      <c r="AP215" s="57" t="s">
        <v>1860</v>
      </c>
      <c r="AQ215" s="58" t="s">
        <v>1871</v>
      </c>
    </row>
    <row r="216" spans="1:43" ht="15" customHeight="1" x14ac:dyDescent="0.15">
      <c r="A216" s="57" t="s">
        <v>1879</v>
      </c>
      <c r="B216" s="334">
        <v>50</v>
      </c>
      <c r="C216" s="334">
        <v>55</v>
      </c>
      <c r="D216" s="334">
        <v>65</v>
      </c>
      <c r="M216" s="334">
        <v>130</v>
      </c>
      <c r="AP216" s="57" t="s">
        <v>1843</v>
      </c>
      <c r="AQ216" s="58" t="s">
        <v>390</v>
      </c>
    </row>
    <row r="217" spans="1:43" ht="15" customHeight="1" x14ac:dyDescent="0.15">
      <c r="A217" s="57" t="s">
        <v>1880</v>
      </c>
      <c r="B217" s="334">
        <v>60</v>
      </c>
      <c r="C217" s="334">
        <v>65</v>
      </c>
      <c r="D217" s="334">
        <v>75</v>
      </c>
      <c r="M217" s="334">
        <v>150</v>
      </c>
      <c r="AP217" s="57" t="s">
        <v>1843</v>
      </c>
      <c r="AQ217" s="58" t="s">
        <v>1881</v>
      </c>
    </row>
    <row r="218" spans="1:43" ht="15" customHeight="1" x14ac:dyDescent="0.15">
      <c r="A218" s="57" t="s">
        <v>1882</v>
      </c>
      <c r="B218" s="334">
        <v>54</v>
      </c>
      <c r="C218" s="334">
        <v>54</v>
      </c>
      <c r="D218" s="334">
        <v>69</v>
      </c>
      <c r="E218" s="334">
        <v>416</v>
      </c>
      <c r="F218" s="334">
        <v>118</v>
      </c>
      <c r="G218" s="334">
        <v>129</v>
      </c>
      <c r="H218" s="334">
        <v>150</v>
      </c>
      <c r="I218" s="334">
        <v>203</v>
      </c>
      <c r="J218" s="334">
        <v>128</v>
      </c>
      <c r="K218" s="334">
        <v>113</v>
      </c>
      <c r="L218" s="334">
        <v>103</v>
      </c>
      <c r="M218" s="334">
        <v>145</v>
      </c>
      <c r="N218" s="334">
        <v>155</v>
      </c>
      <c r="O218" s="334">
        <v>217</v>
      </c>
      <c r="P218" s="334">
        <v>473</v>
      </c>
      <c r="Q218" s="334">
        <v>283</v>
      </c>
      <c r="R218" s="334">
        <v>298</v>
      </c>
      <c r="S218" s="334">
        <v>183</v>
      </c>
      <c r="T218" s="334">
        <v>222</v>
      </c>
      <c r="U218" s="334">
        <v>273</v>
      </c>
      <c r="Y218" s="334">
        <v>509</v>
      </c>
      <c r="Z218" s="334">
        <v>248</v>
      </c>
      <c r="AA218" s="334">
        <v>289</v>
      </c>
      <c r="AB218" s="334">
        <v>278</v>
      </c>
      <c r="AC218" s="334">
        <v>254</v>
      </c>
      <c r="AD218" s="334">
        <v>369</v>
      </c>
      <c r="AE218" s="334">
        <v>977</v>
      </c>
      <c r="AF218" s="334">
        <v>813</v>
      </c>
      <c r="AG218" s="334">
        <v>1077</v>
      </c>
      <c r="AH218" s="334">
        <v>1227</v>
      </c>
      <c r="AI218" s="334">
        <v>1895</v>
      </c>
      <c r="AJ218" s="334">
        <v>1636</v>
      </c>
      <c r="AK218" s="334">
        <v>1284</v>
      </c>
      <c r="AL218" s="334">
        <v>1757</v>
      </c>
      <c r="AP218" s="57" t="s">
        <v>1860</v>
      </c>
      <c r="AQ218" s="58" t="s">
        <v>1883</v>
      </c>
    </row>
    <row r="219" spans="1:43" ht="15" customHeight="1" x14ac:dyDescent="0.15">
      <c r="A219" s="57" t="s">
        <v>1884</v>
      </c>
      <c r="B219" s="334">
        <v>-4</v>
      </c>
      <c r="C219" s="334">
        <v>-3</v>
      </c>
      <c r="D219" s="334">
        <v>-2</v>
      </c>
      <c r="G219" s="334">
        <v>15</v>
      </c>
      <c r="H219" s="334">
        <v>20</v>
      </c>
      <c r="I219" s="334">
        <v>21</v>
      </c>
      <c r="J219" s="334">
        <v>20</v>
      </c>
      <c r="K219" s="334">
        <v>27</v>
      </c>
      <c r="L219" s="334">
        <v>25</v>
      </c>
      <c r="M219" s="334">
        <v>25</v>
      </c>
      <c r="N219" s="334">
        <v>25</v>
      </c>
      <c r="O219" s="334">
        <v>-50</v>
      </c>
      <c r="P219" s="334">
        <v>-55</v>
      </c>
      <c r="Q219" s="334">
        <v>-55</v>
      </c>
      <c r="R219" s="334">
        <v>-50</v>
      </c>
      <c r="S219" s="334">
        <v>-50</v>
      </c>
      <c r="T219" s="334">
        <v>-60</v>
      </c>
      <c r="U219" s="334">
        <v>-60</v>
      </c>
      <c r="V219" s="334">
        <v>-55</v>
      </c>
      <c r="W219" s="334">
        <v>-40</v>
      </c>
      <c r="X219" s="334">
        <v>-10</v>
      </c>
      <c r="Y219" s="334">
        <v>40</v>
      </c>
      <c r="Z219" s="334">
        <v>50</v>
      </c>
      <c r="AA219" s="334">
        <v>90</v>
      </c>
      <c r="AB219" s="334">
        <v>100</v>
      </c>
      <c r="AC219" s="334">
        <v>200</v>
      </c>
      <c r="AD219" s="334">
        <v>250</v>
      </c>
      <c r="AE219" s="334">
        <v>300</v>
      </c>
      <c r="AF219" s="334">
        <v>350</v>
      </c>
      <c r="AG219" s="334">
        <v>400</v>
      </c>
      <c r="AH219" s="334">
        <v>400</v>
      </c>
      <c r="AI219" s="334">
        <v>450</v>
      </c>
      <c r="AJ219" s="334">
        <v>500</v>
      </c>
      <c r="AK219" s="334">
        <v>500</v>
      </c>
      <c r="AP219" s="57" t="s">
        <v>1843</v>
      </c>
      <c r="AQ219" s="58" t="s">
        <v>1885</v>
      </c>
    </row>
    <row r="220" spans="1:43" ht="15" customHeight="1" x14ac:dyDescent="0.15">
      <c r="A220" s="57" t="s">
        <v>1886</v>
      </c>
      <c r="B220" s="334">
        <v>-2</v>
      </c>
      <c r="C220" s="334">
        <v>0</v>
      </c>
      <c r="D220" s="334">
        <v>2</v>
      </c>
      <c r="E220" s="334">
        <v>5</v>
      </c>
      <c r="F220" s="334">
        <v>11</v>
      </c>
      <c r="G220" s="334">
        <v>21</v>
      </c>
      <c r="H220" s="334">
        <v>21</v>
      </c>
      <c r="I220" s="334">
        <v>29</v>
      </c>
      <c r="J220" s="334">
        <v>31</v>
      </c>
      <c r="K220" s="334">
        <v>35</v>
      </c>
      <c r="L220" s="334">
        <v>33</v>
      </c>
      <c r="M220" s="334">
        <v>26</v>
      </c>
      <c r="N220" s="334">
        <v>9</v>
      </c>
      <c r="O220" s="334">
        <v>-39</v>
      </c>
      <c r="P220" s="334">
        <v>-45</v>
      </c>
      <c r="Q220" s="334">
        <v>-45</v>
      </c>
      <c r="R220" s="334">
        <v>-45</v>
      </c>
      <c r="S220" s="334">
        <v>-49</v>
      </c>
      <c r="T220" s="334">
        <v>-52</v>
      </c>
      <c r="U220" s="334">
        <v>-52</v>
      </c>
      <c r="V220" s="334">
        <v>-45</v>
      </c>
      <c r="W220" s="334">
        <v>-16</v>
      </c>
      <c r="X220" s="334">
        <v>24</v>
      </c>
      <c r="Y220" s="334">
        <v>43</v>
      </c>
      <c r="Z220" s="334">
        <v>84</v>
      </c>
      <c r="AA220" s="334">
        <v>120</v>
      </c>
      <c r="AB220" s="334">
        <v>175</v>
      </c>
      <c r="AC220" s="334">
        <v>232</v>
      </c>
      <c r="AD220" s="334">
        <v>302</v>
      </c>
      <c r="AE220" s="334">
        <v>380</v>
      </c>
      <c r="AF220" s="334">
        <v>411</v>
      </c>
      <c r="AG220" s="334">
        <v>457</v>
      </c>
      <c r="AH220" s="334">
        <v>448</v>
      </c>
      <c r="AI220" s="334">
        <v>520</v>
      </c>
      <c r="AJ220" s="334">
        <v>573</v>
      </c>
      <c r="AK220" s="334">
        <v>620</v>
      </c>
      <c r="AL220" s="334">
        <v>457</v>
      </c>
      <c r="AM220" s="334">
        <v>300</v>
      </c>
      <c r="AP220" s="57" t="s">
        <v>1868</v>
      </c>
      <c r="AQ220" s="58" t="s">
        <v>1887</v>
      </c>
    </row>
    <row r="221" spans="1:43" ht="15" customHeight="1" x14ac:dyDescent="0.15">
      <c r="A221" s="57" t="s">
        <v>1888</v>
      </c>
      <c r="B221" s="254">
        <v>0.17</v>
      </c>
      <c r="C221" s="254">
        <v>0.17</v>
      </c>
      <c r="D221" s="254">
        <v>0.17</v>
      </c>
      <c r="E221" s="254">
        <v>0.17499999999999999</v>
      </c>
      <c r="F221" s="254">
        <v>0.12</v>
      </c>
      <c r="G221" s="254">
        <v>0.11</v>
      </c>
      <c r="H221" s="254">
        <v>0.09</v>
      </c>
      <c r="I221" s="254">
        <v>0.08</v>
      </c>
      <c r="J221" s="254">
        <v>0.1</v>
      </c>
      <c r="K221" s="254">
        <v>0.1</v>
      </c>
      <c r="L221" s="254">
        <v>0.1</v>
      </c>
      <c r="M221" s="254">
        <v>0.09</v>
      </c>
      <c r="N221" s="254">
        <v>0.09</v>
      </c>
      <c r="O221" s="254">
        <v>0.09</v>
      </c>
      <c r="P221" s="254">
        <v>0.08</v>
      </c>
      <c r="Q221" s="254">
        <v>0.08</v>
      </c>
      <c r="R221" s="254">
        <v>0.1</v>
      </c>
      <c r="S221" s="254">
        <v>0.1</v>
      </c>
      <c r="T221" s="254">
        <v>0.11</v>
      </c>
      <c r="U221" s="254">
        <v>0.11</v>
      </c>
      <c r="V221" s="254">
        <v>0.11</v>
      </c>
      <c r="W221" s="254">
        <v>0.125</v>
      </c>
      <c r="X221" s="254">
        <v>9.5000000000000001E-2</v>
      </c>
      <c r="Y221" s="254">
        <v>0.09</v>
      </c>
      <c r="Z221" s="254">
        <v>0.13</v>
      </c>
      <c r="AA221" s="254">
        <v>0.14000000000000001</v>
      </c>
      <c r="AB221" s="254">
        <v>0.14499999999999999</v>
      </c>
      <c r="AC221" s="254">
        <v>0.15</v>
      </c>
      <c r="AD221" s="254">
        <v>0.17</v>
      </c>
      <c r="AE221" s="254">
        <v>0.17</v>
      </c>
      <c r="AF221" s="254">
        <v>0.17</v>
      </c>
      <c r="AG221" s="254">
        <v>0.16500000000000001</v>
      </c>
      <c r="AH221" s="254">
        <v>0.17</v>
      </c>
      <c r="AI221" s="254">
        <v>0.16500000000000001</v>
      </c>
      <c r="AJ221" s="254">
        <v>0.16500000000000001</v>
      </c>
      <c r="AK221" s="254">
        <v>0.17</v>
      </c>
      <c r="AP221" s="57" t="s">
        <v>1843</v>
      </c>
      <c r="AQ221" s="58" t="s">
        <v>1889</v>
      </c>
    </row>
    <row r="222" spans="1:43" ht="15" customHeight="1" x14ac:dyDescent="0.15">
      <c r="A222" s="57" t="s">
        <v>1890</v>
      </c>
      <c r="B222" s="254">
        <v>0.01</v>
      </c>
      <c r="C222" s="254">
        <v>0.01</v>
      </c>
      <c r="D222" s="254">
        <v>0.01</v>
      </c>
      <c r="E222" s="254">
        <v>0.01</v>
      </c>
      <c r="F222" s="254">
        <v>0.01</v>
      </c>
      <c r="G222" s="254">
        <v>0.01</v>
      </c>
      <c r="H222" s="254">
        <v>0.01</v>
      </c>
      <c r="I222" s="254">
        <v>0.01</v>
      </c>
      <c r="J222" s="254">
        <v>0.01</v>
      </c>
      <c r="K222" s="254">
        <v>0.01</v>
      </c>
      <c r="L222" s="254">
        <v>0.01</v>
      </c>
      <c r="M222" s="254">
        <v>0.01</v>
      </c>
      <c r="N222" s="254">
        <v>0.01</v>
      </c>
      <c r="O222" s="254">
        <v>0.01</v>
      </c>
      <c r="P222" s="254">
        <v>0.01</v>
      </c>
      <c r="Q222" s="254">
        <v>0.01</v>
      </c>
      <c r="R222" s="254">
        <v>0.01</v>
      </c>
      <c r="S222" s="254">
        <v>0.01</v>
      </c>
      <c r="T222" s="254">
        <v>0.01</v>
      </c>
      <c r="U222" s="254">
        <v>0.01</v>
      </c>
      <c r="V222" s="254">
        <v>0.01</v>
      </c>
      <c r="W222" s="254">
        <v>0.01</v>
      </c>
      <c r="X222" s="254">
        <v>0.01</v>
      </c>
      <c r="Y222" s="254">
        <v>0.01</v>
      </c>
      <c r="Z222" s="254">
        <v>0.01</v>
      </c>
      <c r="AA222" s="254">
        <v>0.01</v>
      </c>
      <c r="AB222" s="254">
        <v>0.01</v>
      </c>
      <c r="AC222" s="254">
        <v>0.01</v>
      </c>
      <c r="AD222" s="254">
        <v>0.01</v>
      </c>
      <c r="AE222" s="254">
        <v>0.01</v>
      </c>
      <c r="AF222" s="254">
        <v>0.01</v>
      </c>
      <c r="AG222" s="254">
        <v>0.01</v>
      </c>
      <c r="AH222" s="254">
        <v>0.01</v>
      </c>
      <c r="AI222" s="254">
        <v>0.01</v>
      </c>
      <c r="AJ222" s="254">
        <v>0.01</v>
      </c>
      <c r="AK222" s="254">
        <v>0.01</v>
      </c>
      <c r="AP222" s="57" t="s">
        <v>1843</v>
      </c>
      <c r="AQ222" s="58" t="s">
        <v>1891</v>
      </c>
    </row>
    <row r="223" spans="1:43" ht="15" customHeight="1" x14ac:dyDescent="0.15">
      <c r="A223" s="57" t="s">
        <v>1892</v>
      </c>
      <c r="AL223" s="254">
        <v>0.17</v>
      </c>
      <c r="AM223" s="254">
        <v>0.16</v>
      </c>
      <c r="AN223" s="254">
        <v>0.16</v>
      </c>
      <c r="AP223" s="57" t="s">
        <v>1843</v>
      </c>
      <c r="AQ223" s="58" t="s">
        <v>1893</v>
      </c>
    </row>
    <row r="224" spans="1:43" ht="15" customHeight="1" x14ac:dyDescent="0.15">
      <c r="A224" s="57" t="s">
        <v>1894</v>
      </c>
      <c r="AL224" s="254">
        <v>0.19</v>
      </c>
      <c r="AM224" s="254">
        <v>0.18</v>
      </c>
      <c r="AN224" s="254">
        <v>0.18</v>
      </c>
      <c r="AP224" s="57" t="s">
        <v>1843</v>
      </c>
      <c r="AQ224" s="58" t="s">
        <v>1893</v>
      </c>
    </row>
    <row r="225" spans="1:43" ht="15" customHeight="1" x14ac:dyDescent="0.15">
      <c r="A225" s="57" t="s">
        <v>1895</v>
      </c>
      <c r="B225" s="334">
        <v>29</v>
      </c>
      <c r="C225" s="334">
        <v>101</v>
      </c>
      <c r="D225" s="334">
        <v>58</v>
      </c>
      <c r="E225" s="334">
        <v>-40</v>
      </c>
      <c r="F225" s="334">
        <v>67</v>
      </c>
      <c r="G225" s="334">
        <v>79</v>
      </c>
      <c r="H225" s="334">
        <v>-149</v>
      </c>
      <c r="I225" s="334">
        <v>-242</v>
      </c>
      <c r="J225" s="334">
        <v>-5</v>
      </c>
      <c r="K225" s="334">
        <v>54</v>
      </c>
      <c r="L225" s="334">
        <v>60</v>
      </c>
      <c r="M225" s="334">
        <v>65</v>
      </c>
      <c r="N225" s="334">
        <v>64</v>
      </c>
      <c r="O225" s="334">
        <v>-13</v>
      </c>
      <c r="P225" s="334">
        <v>12</v>
      </c>
      <c r="Q225" s="334">
        <v>13</v>
      </c>
      <c r="R225" s="334">
        <v>132</v>
      </c>
      <c r="S225" s="334">
        <v>20</v>
      </c>
      <c r="T225" s="334">
        <v>174</v>
      </c>
      <c r="U225" s="334">
        <v>-138</v>
      </c>
      <c r="V225" s="334">
        <v>187</v>
      </c>
      <c r="W225" s="334">
        <v>-181</v>
      </c>
      <c r="X225" s="334">
        <v>-67</v>
      </c>
      <c r="Y225" s="334">
        <v>-126</v>
      </c>
      <c r="Z225" s="334">
        <v>166</v>
      </c>
      <c r="AA225" s="334">
        <v>793</v>
      </c>
      <c r="AB225" s="334">
        <v>1279</v>
      </c>
      <c r="AC225" s="334">
        <v>1821</v>
      </c>
      <c r="AD225" s="334">
        <v>2398</v>
      </c>
      <c r="AE225" s="334">
        <v>2615</v>
      </c>
      <c r="AF225" s="334">
        <v>3007</v>
      </c>
      <c r="AG225" s="334">
        <v>3126</v>
      </c>
      <c r="AH225" s="334">
        <v>3135</v>
      </c>
      <c r="AI225" s="334">
        <v>4784</v>
      </c>
      <c r="AJ225" s="334">
        <v>6026</v>
      </c>
      <c r="AK225" s="334">
        <v>7438</v>
      </c>
      <c r="AL225" s="334">
        <v>11582</v>
      </c>
      <c r="AM225" s="334">
        <v>11819</v>
      </c>
      <c r="AP225" s="57" t="s">
        <v>1860</v>
      </c>
      <c r="AQ225" s="58" t="s">
        <v>1871</v>
      </c>
    </row>
    <row r="226" spans="1:43" ht="15" customHeight="1" x14ac:dyDescent="0.15">
      <c r="A226" s="57" t="s">
        <v>1896</v>
      </c>
      <c r="B226" s="334">
        <v>536</v>
      </c>
      <c r="C226" s="334">
        <v>684</v>
      </c>
      <c r="D226" s="334">
        <v>896</v>
      </c>
      <c r="E226" s="334">
        <v>1079</v>
      </c>
      <c r="F226" s="334">
        <v>1311</v>
      </c>
      <c r="G226" s="334">
        <v>1180</v>
      </c>
      <c r="H226" s="334">
        <v>1081</v>
      </c>
      <c r="I226" s="334">
        <v>324</v>
      </c>
      <c r="J226" s="334">
        <v>389</v>
      </c>
      <c r="K226" s="334">
        <v>606</v>
      </c>
      <c r="L226" s="334">
        <v>959</v>
      </c>
      <c r="M226" s="334">
        <v>1016</v>
      </c>
      <c r="N226" s="334">
        <v>981</v>
      </c>
      <c r="O226" s="334">
        <v>609</v>
      </c>
      <c r="P226" s="334">
        <v>1348</v>
      </c>
      <c r="Q226" s="334">
        <v>1470</v>
      </c>
      <c r="R226" s="334">
        <v>2044</v>
      </c>
      <c r="S226" s="334">
        <v>2394</v>
      </c>
      <c r="T226" s="334">
        <v>2638</v>
      </c>
      <c r="U226" s="334">
        <v>2865</v>
      </c>
      <c r="V226" s="334">
        <v>1805</v>
      </c>
      <c r="W226" s="334">
        <v>475</v>
      </c>
      <c r="X226" s="334">
        <v>613</v>
      </c>
      <c r="Y226" s="334">
        <v>1288</v>
      </c>
      <c r="Z226" s="334">
        <v>2209</v>
      </c>
      <c r="AA226" s="334">
        <v>6981</v>
      </c>
      <c r="AB226" s="334">
        <v>10522</v>
      </c>
      <c r="AC226" s="334">
        <v>14106</v>
      </c>
      <c r="AD226" s="334">
        <v>17279</v>
      </c>
      <c r="AE226" s="334">
        <v>19214</v>
      </c>
      <c r="AF226" s="334">
        <v>22316</v>
      </c>
      <c r="AG226" s="334">
        <v>25217</v>
      </c>
      <c r="AH226" s="334">
        <v>21910</v>
      </c>
      <c r="AI226" s="334">
        <v>31206</v>
      </c>
      <c r="AJ226" s="334">
        <v>37936</v>
      </c>
      <c r="AK226" s="334">
        <v>50398</v>
      </c>
      <c r="AL226" s="334">
        <v>69903</v>
      </c>
      <c r="AM226" s="334">
        <v>71507</v>
      </c>
      <c r="AP226" s="57" t="s">
        <v>1860</v>
      </c>
      <c r="AQ226" s="58" t="s">
        <v>1871</v>
      </c>
    </row>
    <row r="228" spans="1:43" ht="15" customHeight="1" x14ac:dyDescent="0.15">
      <c r="A228" s="56" t="s">
        <v>1897</v>
      </c>
    </row>
    <row r="229" spans="1:43" ht="15" customHeight="1" x14ac:dyDescent="0.15">
      <c r="A229" s="56" t="s">
        <v>1898</v>
      </c>
      <c r="B229" s="56" t="s">
        <v>1899</v>
      </c>
      <c r="C229" s="56" t="s">
        <v>1900</v>
      </c>
      <c r="D229" s="56" t="s">
        <v>1901</v>
      </c>
      <c r="E229" s="56" t="s">
        <v>1902</v>
      </c>
      <c r="F229" s="56" t="s">
        <v>1903</v>
      </c>
      <c r="G229" s="56" t="s">
        <v>1904</v>
      </c>
      <c r="H229" s="56" t="s">
        <v>1905</v>
      </c>
      <c r="I229" s="56" t="s">
        <v>1906</v>
      </c>
      <c r="J229" s="56" t="s">
        <v>1907</v>
      </c>
      <c r="AP229" s="57" t="s">
        <v>1465</v>
      </c>
    </row>
    <row r="230" spans="1:43" ht="15" customHeight="1" x14ac:dyDescent="0.15">
      <c r="A230" s="57" t="s">
        <v>1908</v>
      </c>
      <c r="B230" s="334">
        <v>9714</v>
      </c>
      <c r="C230" s="334">
        <v>11716</v>
      </c>
      <c r="D230" s="334">
        <v>10918</v>
      </c>
      <c r="E230" s="334">
        <v>16675</v>
      </c>
      <c r="F230" s="334">
        <v>26914</v>
      </c>
      <c r="G230" s="334">
        <v>26974</v>
      </c>
      <c r="H230" s="334">
        <v>60922</v>
      </c>
      <c r="I230" s="334">
        <v>130497</v>
      </c>
      <c r="J230" s="334">
        <v>215938</v>
      </c>
      <c r="AP230" s="57" t="s">
        <v>1860</v>
      </c>
    </row>
    <row r="231" spans="1:43" ht="15" customHeight="1" x14ac:dyDescent="0.15">
      <c r="A231" s="57" t="s">
        <v>1909</v>
      </c>
      <c r="B231" s="334">
        <v>6803</v>
      </c>
      <c r="C231" s="334">
        <v>9511</v>
      </c>
      <c r="D231" s="334">
        <v>7813</v>
      </c>
      <c r="E231" s="334">
        <v>11672</v>
      </c>
      <c r="F231" s="334">
        <v>19271</v>
      </c>
      <c r="G231" s="334">
        <v>20923</v>
      </c>
      <c r="H231" s="334">
        <v>38819</v>
      </c>
      <c r="I231" s="334">
        <v>91166</v>
      </c>
      <c r="J231" s="334">
        <v>147811</v>
      </c>
      <c r="AP231" s="57" t="s">
        <v>1860</v>
      </c>
    </row>
    <row r="232" spans="1:43" ht="15" customHeight="1" x14ac:dyDescent="0.15">
      <c r="A232" s="57" t="s">
        <v>1910</v>
      </c>
      <c r="B232" s="334">
        <v>5822</v>
      </c>
      <c r="C232" s="334">
        <v>7171</v>
      </c>
      <c r="D232" s="334">
        <v>6768</v>
      </c>
      <c r="E232" s="334">
        <v>10396</v>
      </c>
      <c r="F232" s="334">
        <v>17475</v>
      </c>
      <c r="G232" s="334">
        <v>15356</v>
      </c>
      <c r="H232" s="334">
        <v>44301</v>
      </c>
      <c r="I232" s="334">
        <v>97858</v>
      </c>
      <c r="J232" s="334">
        <v>153463</v>
      </c>
      <c r="AP232" s="57" t="s">
        <v>1860</v>
      </c>
    </row>
    <row r="233" spans="1:43" ht="15" customHeight="1" x14ac:dyDescent="0.15">
      <c r="A233" s="57" t="s">
        <v>1911</v>
      </c>
      <c r="B233" s="334">
        <v>4021</v>
      </c>
      <c r="C233" s="334">
        <v>5964</v>
      </c>
      <c r="D233" s="334">
        <v>4753</v>
      </c>
      <c r="E233" s="334">
        <v>7240</v>
      </c>
      <c r="F233" s="334">
        <v>12476</v>
      </c>
      <c r="G233" s="334">
        <v>11523</v>
      </c>
      <c r="H233" s="334">
        <v>27510</v>
      </c>
      <c r="I233" s="334">
        <v>69135</v>
      </c>
      <c r="J233" s="334">
        <v>102370</v>
      </c>
      <c r="AP233" s="57" t="s">
        <v>1860</v>
      </c>
    </row>
    <row r="234" spans="1:43" ht="15" customHeight="1" x14ac:dyDescent="0.15">
      <c r="A234" s="57" t="s">
        <v>1912</v>
      </c>
      <c r="B234" s="334">
        <v>2612</v>
      </c>
      <c r="C234" s="334">
        <v>3367</v>
      </c>
      <c r="D234" s="334">
        <v>3922</v>
      </c>
      <c r="E234" s="334">
        <v>5864</v>
      </c>
      <c r="F234" s="334">
        <v>7434</v>
      </c>
      <c r="G234" s="334">
        <v>11132</v>
      </c>
      <c r="H234" s="334">
        <v>11329</v>
      </c>
      <c r="I234" s="334">
        <v>16405</v>
      </c>
      <c r="J234" s="334">
        <v>23076</v>
      </c>
      <c r="AP234" s="57" t="s">
        <v>1860</v>
      </c>
    </row>
    <row r="235" spans="1:43" ht="15" customHeight="1" x14ac:dyDescent="0.15">
      <c r="A235" s="57" t="s">
        <v>1913</v>
      </c>
      <c r="B235" s="334">
        <v>1884</v>
      </c>
      <c r="C235" s="334">
        <v>2454</v>
      </c>
      <c r="D235" s="334">
        <v>2897</v>
      </c>
      <c r="E235" s="334">
        <v>4215</v>
      </c>
      <c r="F235" s="334">
        <v>5405</v>
      </c>
      <c r="G235" s="334">
        <v>8555</v>
      </c>
      <c r="H235" s="334">
        <v>8152</v>
      </c>
      <c r="I235" s="334">
        <v>11716</v>
      </c>
      <c r="J235" s="334">
        <v>16282</v>
      </c>
      <c r="AP235" s="57" t="s">
        <v>1860</v>
      </c>
    </row>
    <row r="236" spans="1:43" ht="15" customHeight="1" x14ac:dyDescent="0.15">
      <c r="A236" s="57" t="s">
        <v>1914</v>
      </c>
      <c r="B236" s="334">
        <v>149</v>
      </c>
      <c r="C236" s="334">
        <v>-245</v>
      </c>
      <c r="D236" s="334">
        <v>174</v>
      </c>
      <c r="E236" s="334">
        <v>77</v>
      </c>
      <c r="F236" s="334">
        <v>189</v>
      </c>
      <c r="G236" s="334">
        <v>-187</v>
      </c>
      <c r="H236" s="334">
        <v>4058</v>
      </c>
      <c r="I236" s="334">
        <v>11146</v>
      </c>
      <c r="J236" s="334">
        <v>21383</v>
      </c>
      <c r="AP236" s="57" t="s">
        <v>1860</v>
      </c>
    </row>
    <row r="237" spans="1:43" ht="15" customHeight="1" x14ac:dyDescent="0.15">
      <c r="A237" s="57" t="s">
        <v>1915</v>
      </c>
      <c r="B237" s="334">
        <v>189</v>
      </c>
      <c r="C237" s="334">
        <v>-3</v>
      </c>
      <c r="D237" s="334">
        <v>109</v>
      </c>
      <c r="E237" s="334">
        <v>64</v>
      </c>
      <c r="F237" s="334">
        <v>327</v>
      </c>
      <c r="G237" s="334">
        <v>-61</v>
      </c>
      <c r="H237" s="334">
        <v>2237</v>
      </c>
      <c r="I237" s="334">
        <v>8020</v>
      </c>
      <c r="J237" s="334">
        <v>13945</v>
      </c>
      <c r="AP237" s="57" t="s">
        <v>1860</v>
      </c>
    </row>
    <row r="238" spans="1:43" ht="15" customHeight="1" x14ac:dyDescent="0.15">
      <c r="A238" s="57" t="s">
        <v>1916</v>
      </c>
      <c r="B238" s="334">
        <v>3196</v>
      </c>
      <c r="C238" s="334">
        <v>3896</v>
      </c>
      <c r="D238" s="334">
        <v>2970</v>
      </c>
      <c r="E238" s="334">
        <v>4409</v>
      </c>
      <c r="F238" s="334">
        <v>9941</v>
      </c>
      <c r="G238" s="334">
        <v>4181</v>
      </c>
      <c r="H238" s="334">
        <v>33818</v>
      </c>
      <c r="I238" s="334">
        <v>84026</v>
      </c>
      <c r="J238" s="334">
        <v>141450</v>
      </c>
      <c r="AP238" s="57" t="s">
        <v>1860</v>
      </c>
    </row>
    <row r="239" spans="1:43" ht="15" customHeight="1" x14ac:dyDescent="0.15">
      <c r="A239" s="57" t="s">
        <v>1917</v>
      </c>
      <c r="B239" s="334">
        <v>2117</v>
      </c>
      <c r="C239" s="334">
        <v>3572</v>
      </c>
      <c r="D239" s="334">
        <v>1954</v>
      </c>
      <c r="E239" s="334">
        <v>2939</v>
      </c>
      <c r="F239" s="334">
        <v>7076</v>
      </c>
      <c r="G239" s="334">
        <v>2893</v>
      </c>
      <c r="H239" s="334">
        <v>19712</v>
      </c>
      <c r="I239" s="334">
        <v>58809</v>
      </c>
      <c r="J239" s="334">
        <v>91052</v>
      </c>
      <c r="AP239" s="57" t="s">
        <v>1860</v>
      </c>
    </row>
    <row r="240" spans="1:43" ht="15" customHeight="1" x14ac:dyDescent="0.15">
      <c r="A240" s="57" t="s">
        <v>1918</v>
      </c>
      <c r="B240" s="334">
        <v>593</v>
      </c>
      <c r="C240" s="334">
        <v>600</v>
      </c>
      <c r="D240" s="334">
        <v>489</v>
      </c>
      <c r="E240" s="334">
        <v>1128</v>
      </c>
      <c r="F240" s="334">
        <v>976</v>
      </c>
      <c r="G240" s="334">
        <v>1833</v>
      </c>
      <c r="H240" s="334">
        <v>1069</v>
      </c>
      <c r="I240" s="334">
        <v>3236</v>
      </c>
      <c r="J240" s="334">
        <v>6042</v>
      </c>
      <c r="AP240" s="57" t="s">
        <v>1860</v>
      </c>
    </row>
    <row r="241" spans="1:43" ht="15" customHeight="1" x14ac:dyDescent="0.15">
      <c r="A241" s="57" t="s">
        <v>1919</v>
      </c>
      <c r="B241" s="334">
        <v>177</v>
      </c>
      <c r="C241" s="334">
        <v>397</v>
      </c>
      <c r="D241" s="334">
        <v>344</v>
      </c>
      <c r="E241" s="334">
        <v>845</v>
      </c>
      <c r="F241" s="334">
        <v>703</v>
      </c>
      <c r="G241" s="334">
        <v>1324</v>
      </c>
      <c r="H241" s="334">
        <v>815</v>
      </c>
      <c r="I241" s="334">
        <v>2159</v>
      </c>
      <c r="J241" s="334">
        <v>4758</v>
      </c>
      <c r="AP241" s="57" t="s">
        <v>1860</v>
      </c>
      <c r="AQ241" s="58" t="s">
        <v>1920</v>
      </c>
    </row>
    <row r="243" spans="1:43" ht="15" customHeight="1" x14ac:dyDescent="0.15">
      <c r="A243" s="56" t="s">
        <v>1921</v>
      </c>
    </row>
    <row r="244" spans="1:43" ht="15" customHeight="1" x14ac:dyDescent="0.15">
      <c r="A244" s="57" t="s">
        <v>326</v>
      </c>
      <c r="B244" s="57" t="s">
        <v>1922</v>
      </c>
      <c r="AP244" s="57" t="s">
        <v>1923</v>
      </c>
    </row>
    <row r="245" spans="1:43" ht="15" customHeight="1" x14ac:dyDescent="0.15">
      <c r="A245" s="57" t="s">
        <v>329</v>
      </c>
      <c r="B245" s="57" t="s">
        <v>1924</v>
      </c>
      <c r="AP245" s="57" t="s">
        <v>1923</v>
      </c>
    </row>
    <row r="246" spans="1:43" ht="15" customHeight="1" x14ac:dyDescent="0.15">
      <c r="A246" s="57" t="s">
        <v>330</v>
      </c>
      <c r="B246" s="57" t="s">
        <v>1925</v>
      </c>
      <c r="AP246" s="57" t="s">
        <v>1923</v>
      </c>
    </row>
    <row r="247" spans="1:43" ht="15" customHeight="1" x14ac:dyDescent="0.15">
      <c r="A247" s="57" t="s">
        <v>331</v>
      </c>
      <c r="B247" s="57" t="s">
        <v>1926</v>
      </c>
      <c r="AP247" s="57" t="s">
        <v>1923</v>
      </c>
    </row>
    <row r="248" spans="1:43" ht="15" customHeight="1" x14ac:dyDescent="0.15">
      <c r="A248" s="57" t="s">
        <v>338</v>
      </c>
      <c r="B248" s="57" t="s">
        <v>1927</v>
      </c>
      <c r="AP248" s="57" t="s">
        <v>1923</v>
      </c>
    </row>
    <row r="249" spans="1:43" ht="15" customHeight="1" x14ac:dyDescent="0.15">
      <c r="A249" s="57" t="s">
        <v>339</v>
      </c>
      <c r="B249" s="57" t="s">
        <v>1928</v>
      </c>
      <c r="AP249" s="57" t="s">
        <v>1923</v>
      </c>
    </row>
    <row r="250" spans="1:43" ht="15" customHeight="1" x14ac:dyDescent="0.15">
      <c r="A250" s="57" t="s">
        <v>340</v>
      </c>
      <c r="B250" s="57" t="s">
        <v>1929</v>
      </c>
      <c r="AP250" s="57" t="s">
        <v>1923</v>
      </c>
    </row>
    <row r="251" spans="1:43" ht="15" customHeight="1" x14ac:dyDescent="0.15">
      <c r="A251" s="57" t="s">
        <v>343</v>
      </c>
      <c r="B251" s="57" t="s">
        <v>1930</v>
      </c>
      <c r="AP251" s="57" t="s">
        <v>1923</v>
      </c>
    </row>
    <row r="252" spans="1:43" ht="15" customHeight="1" x14ac:dyDescent="0.15">
      <c r="A252" s="57" t="s">
        <v>347</v>
      </c>
      <c r="B252" s="57" t="s">
        <v>1931</v>
      </c>
      <c r="AP252" s="57" t="s">
        <v>1923</v>
      </c>
    </row>
    <row r="253" spans="1:43" ht="15" customHeight="1" x14ac:dyDescent="0.15">
      <c r="A253" s="57" t="s">
        <v>348</v>
      </c>
      <c r="B253" s="57" t="s">
        <v>1932</v>
      </c>
      <c r="AP253" s="57" t="s">
        <v>1923</v>
      </c>
    </row>
    <row r="254" spans="1:43" ht="15" customHeight="1" x14ac:dyDescent="0.15">
      <c r="A254" s="57" t="s">
        <v>351</v>
      </c>
      <c r="B254" s="57" t="s">
        <v>1933</v>
      </c>
      <c r="AP254" s="57" t="s">
        <v>1923</v>
      </c>
    </row>
    <row r="255" spans="1:43" ht="15" customHeight="1" x14ac:dyDescent="0.15">
      <c r="A255" s="57" t="s">
        <v>352</v>
      </c>
      <c r="B255" s="57" t="s">
        <v>1934</v>
      </c>
      <c r="AP255" s="57" t="s">
        <v>1923</v>
      </c>
    </row>
    <row r="256" spans="1:43" ht="15" customHeight="1" x14ac:dyDescent="0.15">
      <c r="A256" s="57" t="s">
        <v>354</v>
      </c>
      <c r="B256" s="57" t="s">
        <v>1935</v>
      </c>
      <c r="AP256" s="57" t="s">
        <v>1923</v>
      </c>
    </row>
    <row r="257" spans="1:43" ht="15" customHeight="1" x14ac:dyDescent="0.15">
      <c r="A257" s="57" t="s">
        <v>355</v>
      </c>
      <c r="B257" s="57" t="s">
        <v>1936</v>
      </c>
      <c r="AP257" s="57" t="s">
        <v>1923</v>
      </c>
    </row>
    <row r="258" spans="1:43" ht="15" customHeight="1" x14ac:dyDescent="0.15">
      <c r="A258" s="57" t="s">
        <v>356</v>
      </c>
      <c r="B258" s="57" t="s">
        <v>1936</v>
      </c>
      <c r="AP258" s="57" t="s">
        <v>1923</v>
      </c>
      <c r="AQ258" s="58" t="s">
        <v>1937</v>
      </c>
    </row>
    <row r="261" spans="1:43" ht="15" customHeight="1" x14ac:dyDescent="0.15">
      <c r="A261" s="56" t="s">
        <v>1938</v>
      </c>
    </row>
    <row r="262" spans="1:43" ht="15" customHeight="1" x14ac:dyDescent="0.15">
      <c r="N262" s="58" t="s">
        <v>1939</v>
      </c>
    </row>
    <row r="263" spans="1:43" ht="15" customHeight="1" x14ac:dyDescent="0.15">
      <c r="A263" s="56" t="s">
        <v>1940</v>
      </c>
      <c r="B263" s="56" t="s">
        <v>549</v>
      </c>
      <c r="C263" s="56" t="s">
        <v>236</v>
      </c>
      <c r="D263" s="56" t="s">
        <v>237</v>
      </c>
      <c r="E263" s="56" t="s">
        <v>238</v>
      </c>
      <c r="F263" s="56" t="s">
        <v>547</v>
      </c>
      <c r="G263" s="56" t="s">
        <v>548</v>
      </c>
      <c r="H263" s="56" t="s">
        <v>1760</v>
      </c>
      <c r="I263" s="56" t="s">
        <v>1447</v>
      </c>
      <c r="J263" s="56" t="s">
        <v>1761</v>
      </c>
      <c r="K263" s="56" t="s">
        <v>1941</v>
      </c>
      <c r="L263" s="56" t="s">
        <v>1762</v>
      </c>
      <c r="M263" s="56" t="s">
        <v>1465</v>
      </c>
      <c r="N263" s="56" t="s">
        <v>1466</v>
      </c>
    </row>
    <row r="264" spans="1:43" ht="15" customHeight="1" x14ac:dyDescent="0.15">
      <c r="A264" s="57" t="s">
        <v>1942</v>
      </c>
      <c r="C264" s="335">
        <v>383.52300000000002</v>
      </c>
      <c r="D264" s="335">
        <v>667.56899999999996</v>
      </c>
      <c r="E264" s="335">
        <v>848.39599999999996</v>
      </c>
      <c r="F264" s="335">
        <v>100.95399999999999</v>
      </c>
      <c r="G264" s="335">
        <v>118.3</v>
      </c>
      <c r="H264" s="57" t="s">
        <v>1771</v>
      </c>
      <c r="I264" s="57">
        <v>315</v>
      </c>
      <c r="J264" s="57" t="s">
        <v>1795</v>
      </c>
      <c r="K264" s="57" t="s">
        <v>1201</v>
      </c>
      <c r="L264" s="57" t="s">
        <v>1943</v>
      </c>
      <c r="M264" s="57" t="s">
        <v>1944</v>
      </c>
      <c r="N264" s="58" t="s">
        <v>1945</v>
      </c>
    </row>
    <row r="265" spans="1:43" ht="15" customHeight="1" x14ac:dyDescent="0.15">
      <c r="A265" s="57" t="s">
        <v>1946</v>
      </c>
      <c r="C265" s="335">
        <v>380.55</v>
      </c>
      <c r="D265" s="335">
        <v>662.85500000000002</v>
      </c>
      <c r="E265" s="335">
        <v>845.03300000000002</v>
      </c>
      <c r="F265" s="335">
        <v>100.596</v>
      </c>
      <c r="G265" s="335">
        <v>115.685</v>
      </c>
      <c r="H265" s="57" t="s">
        <v>1809</v>
      </c>
      <c r="I265" s="57">
        <v>275</v>
      </c>
      <c r="J265" s="57" t="s">
        <v>1810</v>
      </c>
      <c r="K265" s="57" t="s">
        <v>1202</v>
      </c>
      <c r="L265" s="57" t="s">
        <v>1943</v>
      </c>
      <c r="M265" s="57" t="s">
        <v>1944</v>
      </c>
      <c r="N265" s="58" t="s">
        <v>1947</v>
      </c>
    </row>
    <row r="266" spans="1:43" ht="15" customHeight="1" x14ac:dyDescent="0.15">
      <c r="A266" s="57" t="s">
        <v>1948</v>
      </c>
      <c r="C266" s="335">
        <v>378.35500000000002</v>
      </c>
      <c r="D266" s="335">
        <v>617.64800000000002</v>
      </c>
      <c r="E266" s="335">
        <v>719.14800000000002</v>
      </c>
      <c r="H266" s="57" t="s">
        <v>1765</v>
      </c>
      <c r="I266" s="57">
        <v>365</v>
      </c>
      <c r="J266" s="57" t="s">
        <v>1799</v>
      </c>
      <c r="K266" s="57" t="s">
        <v>1200</v>
      </c>
      <c r="L266" s="57" t="s">
        <v>1943</v>
      </c>
      <c r="M266" s="57" t="s">
        <v>1944</v>
      </c>
      <c r="N266" s="58" t="s">
        <v>1949</v>
      </c>
    </row>
    <row r="267" spans="1:43" ht="15" customHeight="1" x14ac:dyDescent="0.15">
      <c r="A267" s="57" t="s">
        <v>1950</v>
      </c>
      <c r="F267" s="335">
        <v>101</v>
      </c>
      <c r="H267" s="57" t="s">
        <v>1820</v>
      </c>
      <c r="I267" s="57">
        <v>350</v>
      </c>
      <c r="J267" s="57" t="s">
        <v>1821</v>
      </c>
      <c r="K267" s="57" t="s">
        <v>1200</v>
      </c>
      <c r="L267" s="57" t="s">
        <v>1943</v>
      </c>
      <c r="M267" s="57" t="s">
        <v>1944</v>
      </c>
      <c r="N267" s="58" t="s">
        <v>1951</v>
      </c>
    </row>
    <row r="268" spans="1:43" ht="15" customHeight="1" x14ac:dyDescent="0.15">
      <c r="A268" s="57" t="s">
        <v>1952</v>
      </c>
      <c r="C268" s="335">
        <v>29.561</v>
      </c>
      <c r="D268" s="335">
        <v>35.151000000000003</v>
      </c>
      <c r="E268" s="335">
        <v>45.012999999999998</v>
      </c>
      <c r="F268" s="335">
        <v>7.9180000000000001</v>
      </c>
      <c r="G268" s="335">
        <v>8.0760000000000005</v>
      </c>
      <c r="H268" s="57" t="s">
        <v>1771</v>
      </c>
      <c r="I268" s="57">
        <v>315</v>
      </c>
      <c r="J268" s="57" t="s">
        <v>1795</v>
      </c>
      <c r="K268" s="57" t="s">
        <v>1201</v>
      </c>
      <c r="L268" s="57" t="s">
        <v>1943</v>
      </c>
      <c r="M268" s="57" t="s">
        <v>1944</v>
      </c>
      <c r="N268" s="58" t="s">
        <v>1945</v>
      </c>
    </row>
    <row r="269" spans="1:43" ht="15" customHeight="1" x14ac:dyDescent="0.15">
      <c r="A269" s="57" t="s">
        <v>1953</v>
      </c>
      <c r="C269" s="335">
        <v>28.190999999999999</v>
      </c>
      <c r="D269" s="335">
        <v>31.972000000000001</v>
      </c>
      <c r="E269" s="335">
        <v>37.012</v>
      </c>
      <c r="F269" s="335">
        <v>7.4089999999999998</v>
      </c>
      <c r="G269" s="335">
        <v>7.2149999999999999</v>
      </c>
      <c r="H269" s="57" t="s">
        <v>1809</v>
      </c>
      <c r="I269" s="57">
        <v>275</v>
      </c>
      <c r="J269" s="57" t="s">
        <v>1810</v>
      </c>
      <c r="K269" s="57" t="s">
        <v>1202</v>
      </c>
      <c r="L269" s="57" t="s">
        <v>1943</v>
      </c>
      <c r="M269" s="57" t="s">
        <v>1944</v>
      </c>
      <c r="N269" s="58" t="s">
        <v>1947</v>
      </c>
    </row>
    <row r="270" spans="1:43" ht="15" customHeight="1" x14ac:dyDescent="0.15">
      <c r="A270" s="57" t="s">
        <v>1954</v>
      </c>
      <c r="C270" s="335">
        <v>28.8</v>
      </c>
      <c r="D270" s="335">
        <v>33.07</v>
      </c>
      <c r="E270" s="335">
        <v>36.591999999999999</v>
      </c>
      <c r="H270" s="57" t="s">
        <v>1765</v>
      </c>
      <c r="I270" s="57">
        <v>365</v>
      </c>
      <c r="J270" s="57" t="s">
        <v>1799</v>
      </c>
      <c r="K270" s="57" t="s">
        <v>1200</v>
      </c>
      <c r="L270" s="57" t="s">
        <v>1943</v>
      </c>
      <c r="M270" s="57" t="s">
        <v>1944</v>
      </c>
      <c r="N270" s="58" t="s">
        <v>1949</v>
      </c>
    </row>
    <row r="271" spans="1:43" ht="15" customHeight="1" x14ac:dyDescent="0.15">
      <c r="A271" s="57" t="s">
        <v>1955</v>
      </c>
      <c r="C271" s="335">
        <v>310.76299999999998</v>
      </c>
      <c r="D271" s="335">
        <v>553.03</v>
      </c>
      <c r="E271" s="335">
        <v>712.88800000000003</v>
      </c>
      <c r="F271" s="335">
        <v>82.05</v>
      </c>
      <c r="G271" s="335">
        <v>96.69</v>
      </c>
      <c r="H271" s="57" t="s">
        <v>1771</v>
      </c>
      <c r="I271" s="57">
        <v>315</v>
      </c>
      <c r="J271" s="57" t="s">
        <v>1795</v>
      </c>
      <c r="K271" s="57" t="s">
        <v>1201</v>
      </c>
      <c r="L271" s="57" t="s">
        <v>1943</v>
      </c>
      <c r="M271" s="57" t="s">
        <v>1944</v>
      </c>
      <c r="N271" s="58" t="s">
        <v>1945</v>
      </c>
    </row>
    <row r="272" spans="1:43" ht="15" customHeight="1" x14ac:dyDescent="0.15">
      <c r="A272" s="57" t="s">
        <v>1956</v>
      </c>
      <c r="C272" s="335">
        <v>72.760000000000005</v>
      </c>
      <c r="D272" s="335">
        <v>114.539</v>
      </c>
      <c r="E272" s="335">
        <v>135.50899999999999</v>
      </c>
      <c r="F272" s="335">
        <v>18.904</v>
      </c>
      <c r="G272" s="335">
        <v>21.61</v>
      </c>
      <c r="H272" s="57" t="s">
        <v>1771</v>
      </c>
      <c r="I272" s="57">
        <v>315</v>
      </c>
      <c r="J272" s="57" t="s">
        <v>1795</v>
      </c>
      <c r="K272" s="57" t="s">
        <v>1201</v>
      </c>
      <c r="L272" s="57" t="s">
        <v>1943</v>
      </c>
      <c r="M272" s="57" t="s">
        <v>1944</v>
      </c>
      <c r="N272" s="58" t="s">
        <v>1945</v>
      </c>
    </row>
    <row r="273" spans="1:14" ht="15" customHeight="1" x14ac:dyDescent="0.15">
      <c r="A273" s="57" t="s">
        <v>1957</v>
      </c>
      <c r="B273" s="335">
        <v>115.18600000000001</v>
      </c>
      <c r="M273" s="57" t="s">
        <v>1958</v>
      </c>
      <c r="N273" s="58" t="s">
        <v>1959</v>
      </c>
    </row>
    <row r="274" spans="1:14" ht="15" customHeight="1" x14ac:dyDescent="0.15">
      <c r="A274" s="57" t="s">
        <v>1960</v>
      </c>
      <c r="B274" s="335">
        <v>193.73699999999999</v>
      </c>
      <c r="M274" s="57" t="s">
        <v>1958</v>
      </c>
      <c r="N274" s="58" t="s">
        <v>1961</v>
      </c>
    </row>
    <row r="275" spans="1:14" ht="15" customHeight="1" x14ac:dyDescent="0.15">
      <c r="A275" s="57" t="s">
        <v>1962</v>
      </c>
      <c r="B275" s="335">
        <v>51.215000000000003</v>
      </c>
      <c r="M275" s="57" t="s">
        <v>1958</v>
      </c>
      <c r="N275" s="58" t="s">
        <v>1963</v>
      </c>
    </row>
    <row r="276" spans="1:14" ht="15" customHeight="1" x14ac:dyDescent="0.15">
      <c r="A276" s="57" t="s">
        <v>1964</v>
      </c>
      <c r="B276" s="335">
        <v>62.314</v>
      </c>
      <c r="M276" s="57" t="s">
        <v>1958</v>
      </c>
      <c r="N276" s="58" t="s">
        <v>1965</v>
      </c>
    </row>
    <row r="277" spans="1:14" ht="15" customHeight="1" x14ac:dyDescent="0.15">
      <c r="A277" s="57" t="s">
        <v>1966</v>
      </c>
      <c r="B277" s="335">
        <v>11.35</v>
      </c>
      <c r="M277" s="57" t="s">
        <v>1958</v>
      </c>
      <c r="N277" s="58" t="s">
        <v>1967</v>
      </c>
    </row>
    <row r="278" spans="1:14" ht="15" customHeight="1" x14ac:dyDescent="0.15">
      <c r="A278" s="57" t="s">
        <v>1968</v>
      </c>
      <c r="B278" s="335">
        <v>16.042000000000002</v>
      </c>
      <c r="M278" s="57" t="s">
        <v>1958</v>
      </c>
      <c r="N278" s="58" t="s">
        <v>1969</v>
      </c>
    </row>
    <row r="279" spans="1:14" ht="15" customHeight="1" x14ac:dyDescent="0.15">
      <c r="A279" s="57" t="s">
        <v>1970</v>
      </c>
      <c r="B279" s="335">
        <v>4.2649999999999997</v>
      </c>
      <c r="M279" s="57" t="s">
        <v>1958</v>
      </c>
      <c r="N279" s="58" t="s">
        <v>1971</v>
      </c>
    </row>
    <row r="280" spans="1:14" ht="15" customHeight="1" x14ac:dyDescent="0.15">
      <c r="A280" s="57" t="s">
        <v>1972</v>
      </c>
      <c r="B280" s="335">
        <v>3.7269999999999999</v>
      </c>
      <c r="M280" s="57" t="s">
        <v>1958</v>
      </c>
      <c r="N280" s="58" t="s">
        <v>1973</v>
      </c>
    </row>
    <row r="281" spans="1:14" ht="15" customHeight="1" x14ac:dyDescent="0.15">
      <c r="A281" s="57" t="s">
        <v>1974</v>
      </c>
      <c r="B281" s="335">
        <v>43.027999999999999</v>
      </c>
      <c r="M281" s="57" t="s">
        <v>1958</v>
      </c>
      <c r="N281" s="58" t="s">
        <v>1975</v>
      </c>
    </row>
    <row r="282" spans="1:14" ht="15" customHeight="1" x14ac:dyDescent="0.15">
      <c r="A282" s="57" t="s">
        <v>1976</v>
      </c>
      <c r="B282" s="335">
        <v>51.334000000000003</v>
      </c>
      <c r="M282" s="57" t="s">
        <v>1958</v>
      </c>
      <c r="N282" s="58" t="s">
        <v>1977</v>
      </c>
    </row>
    <row r="283" spans="1:14" ht="15" customHeight="1" x14ac:dyDescent="0.15">
      <c r="A283" s="57" t="s">
        <v>1978</v>
      </c>
      <c r="B283" s="335">
        <v>8.1869999999999994</v>
      </c>
      <c r="M283" s="57" t="s">
        <v>1958</v>
      </c>
      <c r="N283" s="58" t="s">
        <v>1979</v>
      </c>
    </row>
    <row r="284" spans="1:14" ht="15" customHeight="1" x14ac:dyDescent="0.15">
      <c r="A284" s="57" t="s">
        <v>1980</v>
      </c>
      <c r="B284" s="335">
        <v>10.98</v>
      </c>
      <c r="M284" s="57" t="s">
        <v>1958</v>
      </c>
      <c r="N284" s="58" t="s">
        <v>1981</v>
      </c>
    </row>
    <row r="285" spans="1:14" ht="15" customHeight="1" x14ac:dyDescent="0.15">
      <c r="A285" s="57" t="s">
        <v>1982</v>
      </c>
      <c r="C285" s="254">
        <v>0.73899999999999999</v>
      </c>
      <c r="D285" s="254">
        <v>0.72799999999999998</v>
      </c>
      <c r="E285" s="254">
        <v>0.72899999999999998</v>
      </c>
      <c r="H285" s="57" t="s">
        <v>1765</v>
      </c>
      <c r="I285" s="57">
        <v>300</v>
      </c>
      <c r="J285" s="57" t="s">
        <v>1766</v>
      </c>
      <c r="K285" s="57" t="s">
        <v>1199</v>
      </c>
      <c r="L285" s="57" t="s">
        <v>1983</v>
      </c>
      <c r="M285" s="57" t="s">
        <v>1944</v>
      </c>
      <c r="N285" s="58" t="s">
        <v>1984</v>
      </c>
    </row>
    <row r="286" spans="1:14" ht="15" customHeight="1" x14ac:dyDescent="0.15">
      <c r="A286" s="57" t="s">
        <v>1985</v>
      </c>
      <c r="C286" s="254">
        <v>0.73699999999999999</v>
      </c>
      <c r="D286" s="254">
        <v>0.72499999999999998</v>
      </c>
      <c r="E286" s="254">
        <v>0.72699999999999998</v>
      </c>
      <c r="H286" s="57" t="s">
        <v>1771</v>
      </c>
      <c r="I286" s="57">
        <v>300</v>
      </c>
      <c r="J286" s="57" t="s">
        <v>1772</v>
      </c>
      <c r="K286" s="57" t="s">
        <v>1199</v>
      </c>
      <c r="L286" s="57" t="s">
        <v>1986</v>
      </c>
      <c r="M286" s="57" t="s">
        <v>1944</v>
      </c>
      <c r="N286" s="58" t="s">
        <v>1987</v>
      </c>
    </row>
    <row r="287" spans="1:14" ht="15" customHeight="1" x14ac:dyDescent="0.15">
      <c r="A287" s="57" t="s">
        <v>1988</v>
      </c>
      <c r="C287" s="254">
        <v>0.73699999999999999</v>
      </c>
      <c r="D287" s="254">
        <v>0.72499999999999998</v>
      </c>
      <c r="E287" s="254">
        <v>0.73</v>
      </c>
      <c r="F287" s="254">
        <v>0.74</v>
      </c>
      <c r="G287" s="254">
        <v>0.71499999999999997</v>
      </c>
      <c r="H287" s="57" t="s">
        <v>1765</v>
      </c>
      <c r="I287" s="57">
        <v>350</v>
      </c>
      <c r="J287" s="57" t="s">
        <v>1777</v>
      </c>
      <c r="K287" s="57" t="s">
        <v>1203</v>
      </c>
      <c r="L287" s="57" t="s">
        <v>1943</v>
      </c>
      <c r="M287" s="57" t="s">
        <v>1944</v>
      </c>
      <c r="N287" s="58" t="s">
        <v>1989</v>
      </c>
    </row>
    <row r="288" spans="1:14" ht="15" customHeight="1" x14ac:dyDescent="0.15">
      <c r="A288" s="57" t="s">
        <v>1990</v>
      </c>
      <c r="C288" s="254">
        <v>0.73599999999999999</v>
      </c>
      <c r="D288" s="254">
        <v>0.72499999999999998</v>
      </c>
      <c r="E288" s="254">
        <v>0.72899999999999998</v>
      </c>
      <c r="H288" s="57" t="s">
        <v>1765</v>
      </c>
      <c r="I288" s="57">
        <v>315</v>
      </c>
      <c r="J288" s="57" t="s">
        <v>1785</v>
      </c>
      <c r="K288" s="57" t="s">
        <v>1198</v>
      </c>
      <c r="L288" s="57" t="s">
        <v>1943</v>
      </c>
      <c r="M288" s="57" t="s">
        <v>1944</v>
      </c>
      <c r="N288" s="58" t="s">
        <v>1991</v>
      </c>
    </row>
    <row r="289" spans="1:14" ht="15" customHeight="1" x14ac:dyDescent="0.15">
      <c r="A289" s="57" t="s">
        <v>1992</v>
      </c>
      <c r="C289" s="254">
        <v>0.73599999999999999</v>
      </c>
      <c r="D289" s="254">
        <v>0.72399999999999998</v>
      </c>
      <c r="E289" s="254">
        <v>0.73</v>
      </c>
      <c r="F289" s="254">
        <v>0.74</v>
      </c>
      <c r="G289" s="254">
        <v>0.71299999999999997</v>
      </c>
      <c r="H289" s="57" t="s">
        <v>1835</v>
      </c>
      <c r="I289" s="57">
        <v>300</v>
      </c>
      <c r="J289" s="57" t="s">
        <v>1836</v>
      </c>
      <c r="K289" s="57" t="s">
        <v>1206</v>
      </c>
      <c r="L289" s="57" t="s">
        <v>1993</v>
      </c>
      <c r="M289" s="57" t="s">
        <v>1944</v>
      </c>
      <c r="N289" s="58" t="s">
        <v>1994</v>
      </c>
    </row>
    <row r="290" spans="1:14" ht="15" customHeight="1" x14ac:dyDescent="0.15">
      <c r="A290" s="57" t="s">
        <v>1995</v>
      </c>
      <c r="C290" s="254">
        <v>0.73699999999999999</v>
      </c>
      <c r="D290" s="254">
        <v>0.72299999999999998</v>
      </c>
      <c r="E290" s="254">
        <v>0.72199999999999998</v>
      </c>
      <c r="F290" s="254">
        <v>0.74</v>
      </c>
      <c r="G290" s="254">
        <v>0.71499999999999997</v>
      </c>
      <c r="H290" s="57" t="s">
        <v>1809</v>
      </c>
      <c r="I290" s="57">
        <v>275</v>
      </c>
      <c r="J290" s="57" t="s">
        <v>1810</v>
      </c>
      <c r="K290" s="57" t="s">
        <v>1202</v>
      </c>
      <c r="L290" s="57" t="s">
        <v>1943</v>
      </c>
      <c r="M290" s="57" t="s">
        <v>1944</v>
      </c>
      <c r="N290" s="58" t="s">
        <v>1947</v>
      </c>
    </row>
    <row r="291" spans="1:14" ht="15" customHeight="1" x14ac:dyDescent="0.15">
      <c r="A291" s="57" t="s">
        <v>1996</v>
      </c>
      <c r="C291" s="254">
        <v>0.73699999999999999</v>
      </c>
      <c r="D291" s="254">
        <v>0.72299999999999998</v>
      </c>
      <c r="E291" s="254">
        <v>0.72699999999999998</v>
      </c>
      <c r="F291" s="254">
        <v>0.74</v>
      </c>
      <c r="G291" s="254">
        <v>0.71599999999999997</v>
      </c>
      <c r="H291" s="57" t="s">
        <v>1771</v>
      </c>
      <c r="I291" s="57">
        <v>315</v>
      </c>
      <c r="J291" s="57" t="s">
        <v>1795</v>
      </c>
      <c r="K291" s="57" t="s">
        <v>1201</v>
      </c>
      <c r="L291" s="57" t="s">
        <v>1943</v>
      </c>
      <c r="M291" s="57" t="s">
        <v>1944</v>
      </c>
      <c r="N291" s="58" t="s">
        <v>1945</v>
      </c>
    </row>
    <row r="292" spans="1:14" ht="15" customHeight="1" x14ac:dyDescent="0.15">
      <c r="A292" s="57" t="s">
        <v>1997</v>
      </c>
      <c r="C292" s="254">
        <v>0.73899999999999999</v>
      </c>
      <c r="D292" s="254">
        <v>0.72399999999999998</v>
      </c>
      <c r="E292" s="254">
        <v>0.73399999999999999</v>
      </c>
      <c r="F292" s="254">
        <v>0.74</v>
      </c>
      <c r="G292" s="254">
        <v>0.72</v>
      </c>
      <c r="H292" s="57" t="s">
        <v>1765</v>
      </c>
      <c r="I292" s="57">
        <v>365</v>
      </c>
      <c r="J292" s="57" t="s">
        <v>1799</v>
      </c>
      <c r="K292" s="57" t="s">
        <v>1200</v>
      </c>
      <c r="L292" s="57" t="s">
        <v>1943</v>
      </c>
      <c r="M292" s="57" t="s">
        <v>1944</v>
      </c>
      <c r="N292" s="58" t="s">
        <v>1949</v>
      </c>
    </row>
    <row r="293" spans="1:14" ht="15" customHeight="1" x14ac:dyDescent="0.15">
      <c r="A293" s="57" t="s">
        <v>1998</v>
      </c>
      <c r="C293" s="254">
        <v>0.73699999999999999</v>
      </c>
      <c r="D293" s="254">
        <v>0.72399999999999998</v>
      </c>
      <c r="E293" s="254">
        <v>0.72499999999999998</v>
      </c>
      <c r="F293" s="254">
        <v>0.74</v>
      </c>
      <c r="G293" s="254">
        <v>0.71499999999999997</v>
      </c>
      <c r="H293" s="57" t="s">
        <v>1820</v>
      </c>
      <c r="I293" s="57">
        <v>350</v>
      </c>
      <c r="J293" s="57" t="s">
        <v>1821</v>
      </c>
      <c r="K293" s="57" t="s">
        <v>1203</v>
      </c>
      <c r="L293" s="57" t="s">
        <v>1943</v>
      </c>
      <c r="M293" s="57" t="s">
        <v>1944</v>
      </c>
      <c r="N293" s="58" t="s">
        <v>1951</v>
      </c>
    </row>
    <row r="294" spans="1:14" ht="15" customHeight="1" x14ac:dyDescent="0.15">
      <c r="A294" s="57" t="s">
        <v>1999</v>
      </c>
      <c r="C294" s="254">
        <v>0.75</v>
      </c>
      <c r="D294" s="254">
        <v>0.745</v>
      </c>
      <c r="E294" s="254">
        <v>0.746</v>
      </c>
      <c r="H294" s="57" t="s">
        <v>1765</v>
      </c>
      <c r="I294" s="57">
        <v>280</v>
      </c>
      <c r="J294" s="57" t="s">
        <v>1790</v>
      </c>
      <c r="K294" s="57" t="s">
        <v>1201</v>
      </c>
      <c r="L294" s="57" t="s">
        <v>2000</v>
      </c>
      <c r="M294" s="57" t="s">
        <v>1944</v>
      </c>
      <c r="N294" s="58" t="s">
        <v>2001</v>
      </c>
    </row>
    <row r="295" spans="1:14" ht="15" customHeight="1" x14ac:dyDescent="0.15">
      <c r="A295" s="57" t="s">
        <v>2002</v>
      </c>
      <c r="C295" s="254">
        <v>0.749</v>
      </c>
      <c r="D295" s="254">
        <v>0.747</v>
      </c>
      <c r="F295" s="254">
        <v>0.749</v>
      </c>
      <c r="G295" s="254">
        <v>0.749</v>
      </c>
      <c r="H295" s="57" t="s">
        <v>1804</v>
      </c>
      <c r="I295" s="57">
        <v>300</v>
      </c>
      <c r="J295" s="57" t="s">
        <v>1805</v>
      </c>
      <c r="K295" s="57" t="s">
        <v>1199</v>
      </c>
      <c r="L295" s="57" t="s">
        <v>2003</v>
      </c>
      <c r="M295" s="57" t="s">
        <v>1944</v>
      </c>
      <c r="N295" s="58" t="s">
        <v>2004</v>
      </c>
    </row>
    <row r="296" spans="1:14" ht="15" customHeight="1" x14ac:dyDescent="0.15">
      <c r="A296" s="57" t="s">
        <v>2005</v>
      </c>
      <c r="C296" s="254">
        <v>0.749</v>
      </c>
      <c r="D296" s="254">
        <v>0.752</v>
      </c>
      <c r="H296" s="57" t="s">
        <v>1815</v>
      </c>
      <c r="I296" s="57">
        <v>340</v>
      </c>
      <c r="J296" s="57" t="s">
        <v>1816</v>
      </c>
      <c r="K296" s="57" t="s">
        <v>1198</v>
      </c>
      <c r="L296" s="57" t="s">
        <v>2006</v>
      </c>
      <c r="M296" s="57" t="s">
        <v>1944</v>
      </c>
      <c r="N296" s="58" t="s">
        <v>2007</v>
      </c>
    </row>
    <row r="297" spans="1:14" ht="15" customHeight="1" x14ac:dyDescent="0.15">
      <c r="A297" s="57" t="s">
        <v>2008</v>
      </c>
      <c r="C297" s="254">
        <v>0.75</v>
      </c>
      <c r="D297" s="254">
        <v>0.72499999999999998</v>
      </c>
      <c r="H297" s="57" t="s">
        <v>1804</v>
      </c>
      <c r="I297" s="57">
        <v>330</v>
      </c>
      <c r="J297" s="57" t="s">
        <v>1826</v>
      </c>
      <c r="K297" s="57" t="s">
        <v>1197</v>
      </c>
      <c r="L297" s="57" t="s">
        <v>2009</v>
      </c>
      <c r="M297" s="57" t="s">
        <v>1944</v>
      </c>
      <c r="N297" s="58" t="s">
        <v>2010</v>
      </c>
    </row>
    <row r="298" spans="1:14" ht="15" customHeight="1" x14ac:dyDescent="0.15">
      <c r="A298" s="57" t="s">
        <v>2011</v>
      </c>
      <c r="B298" s="335">
        <v>215.93799999999999</v>
      </c>
      <c r="C298" s="335">
        <v>412.73099999999999</v>
      </c>
      <c r="D298" s="335">
        <v>718.3</v>
      </c>
      <c r="E298" s="335">
        <v>954.99199999999996</v>
      </c>
      <c r="H298" s="57" t="s">
        <v>1765</v>
      </c>
      <c r="I298" s="57">
        <v>300</v>
      </c>
      <c r="J298" s="57" t="s">
        <v>1766</v>
      </c>
      <c r="K298" s="57" t="s">
        <v>1200</v>
      </c>
      <c r="L298" s="57" t="s">
        <v>1983</v>
      </c>
      <c r="M298" s="57" t="s">
        <v>1944</v>
      </c>
      <c r="N298" s="58" t="s">
        <v>1984</v>
      </c>
    </row>
    <row r="299" spans="1:14" ht="15" customHeight="1" x14ac:dyDescent="0.15">
      <c r="A299" s="57" t="s">
        <v>2012</v>
      </c>
      <c r="B299" s="335">
        <v>215.93799999999999</v>
      </c>
      <c r="C299" s="335">
        <v>405.96800000000002</v>
      </c>
      <c r="D299" s="335">
        <v>690.16800000000001</v>
      </c>
      <c r="E299" s="335">
        <v>970.22199999999998</v>
      </c>
      <c r="H299" s="57" t="s">
        <v>1771</v>
      </c>
      <c r="I299" s="57">
        <v>300</v>
      </c>
      <c r="J299" s="57" t="s">
        <v>1772</v>
      </c>
      <c r="K299" s="57" t="s">
        <v>1199</v>
      </c>
      <c r="L299" s="57" t="s">
        <v>1986</v>
      </c>
      <c r="M299" s="57" t="s">
        <v>1944</v>
      </c>
      <c r="N299" s="58" t="s">
        <v>1987</v>
      </c>
    </row>
    <row r="300" spans="1:14" ht="15" customHeight="1" x14ac:dyDescent="0.15">
      <c r="A300" s="57" t="s">
        <v>2013</v>
      </c>
      <c r="B300" s="335">
        <v>215.93799999999999</v>
      </c>
      <c r="C300" s="335">
        <v>403.20600000000002</v>
      </c>
      <c r="D300" s="335">
        <v>684.70100000000002</v>
      </c>
      <c r="E300" s="335">
        <v>953.072</v>
      </c>
      <c r="F300" s="335">
        <v>108.08</v>
      </c>
      <c r="G300" s="335">
        <v>117.29</v>
      </c>
      <c r="H300" s="57" t="s">
        <v>1765</v>
      </c>
      <c r="I300" s="57">
        <v>350</v>
      </c>
      <c r="J300" s="57" t="s">
        <v>1777</v>
      </c>
      <c r="K300" s="57" t="s">
        <v>1203</v>
      </c>
      <c r="L300" s="57" t="s">
        <v>1943</v>
      </c>
      <c r="M300" s="57" t="s">
        <v>1944</v>
      </c>
      <c r="N300" s="58" t="s">
        <v>1989</v>
      </c>
    </row>
    <row r="301" spans="1:14" ht="15" customHeight="1" x14ac:dyDescent="0.15">
      <c r="A301" s="57" t="s">
        <v>2014</v>
      </c>
      <c r="B301" s="335">
        <v>215.93799999999999</v>
      </c>
      <c r="C301" s="335">
        <v>411.42700000000002</v>
      </c>
      <c r="D301" s="335">
        <v>699.09900000000005</v>
      </c>
      <c r="E301" s="335">
        <v>940.64099999999996</v>
      </c>
      <c r="H301" s="57" t="s">
        <v>1765</v>
      </c>
      <c r="I301" s="57">
        <v>315</v>
      </c>
      <c r="J301" s="57" t="s">
        <v>1785</v>
      </c>
      <c r="K301" s="57" t="s">
        <v>1198</v>
      </c>
      <c r="L301" s="57" t="s">
        <v>1943</v>
      </c>
      <c r="M301" s="57" t="s">
        <v>1944</v>
      </c>
      <c r="N301" s="58" t="s">
        <v>1991</v>
      </c>
    </row>
    <row r="302" spans="1:14" ht="15" customHeight="1" x14ac:dyDescent="0.15">
      <c r="A302" s="57" t="s">
        <v>2015</v>
      </c>
      <c r="B302" s="335">
        <v>215.93799999999999</v>
      </c>
      <c r="C302" s="335">
        <v>410.255</v>
      </c>
      <c r="D302" s="335">
        <v>683.04600000000005</v>
      </c>
      <c r="E302" s="335">
        <v>988.95399999999995</v>
      </c>
      <c r="F302" s="335">
        <v>109.639</v>
      </c>
      <c r="G302" s="335">
        <v>122.78</v>
      </c>
      <c r="H302" s="57" t="s">
        <v>1835</v>
      </c>
      <c r="I302" s="57">
        <v>300</v>
      </c>
      <c r="J302" s="57" t="s">
        <v>1836</v>
      </c>
      <c r="K302" s="57" t="s">
        <v>1206</v>
      </c>
      <c r="L302" s="57" t="s">
        <v>1993</v>
      </c>
      <c r="M302" s="57" t="s">
        <v>1944</v>
      </c>
      <c r="N302" s="58" t="s">
        <v>1994</v>
      </c>
    </row>
    <row r="303" spans="1:14" ht="15" customHeight="1" x14ac:dyDescent="0.15">
      <c r="A303" s="57" t="s">
        <v>2016</v>
      </c>
      <c r="B303" s="335">
        <v>215.93799999999999</v>
      </c>
      <c r="C303" s="335">
        <v>408.74099999999999</v>
      </c>
      <c r="D303" s="335">
        <v>694.827</v>
      </c>
      <c r="E303" s="335">
        <v>882.04399999999998</v>
      </c>
      <c r="F303" s="335">
        <v>108.005</v>
      </c>
      <c r="G303" s="335">
        <v>122.9</v>
      </c>
      <c r="H303" s="57" t="s">
        <v>1809</v>
      </c>
      <c r="I303" s="57">
        <v>275</v>
      </c>
      <c r="J303" s="57" t="s">
        <v>1810</v>
      </c>
      <c r="K303" s="57" t="s">
        <v>1202</v>
      </c>
      <c r="L303" s="57" t="s">
        <v>1943</v>
      </c>
      <c r="M303" s="57" t="s">
        <v>1944</v>
      </c>
      <c r="N303" s="58" t="s">
        <v>1947</v>
      </c>
    </row>
    <row r="304" spans="1:14" ht="15" customHeight="1" x14ac:dyDescent="0.15">
      <c r="A304" s="57" t="s">
        <v>2017</v>
      </c>
      <c r="C304" s="335">
        <v>413.084</v>
      </c>
      <c r="D304" s="335">
        <v>702.72</v>
      </c>
      <c r="E304" s="335">
        <v>893.40899999999999</v>
      </c>
      <c r="F304" s="335">
        <v>108.872</v>
      </c>
      <c r="G304" s="335">
        <v>126.376</v>
      </c>
      <c r="H304" s="57" t="s">
        <v>1771</v>
      </c>
      <c r="I304" s="57">
        <v>315</v>
      </c>
      <c r="J304" s="57" t="s">
        <v>1795</v>
      </c>
      <c r="K304" s="57" t="s">
        <v>1201</v>
      </c>
      <c r="L304" s="57" t="s">
        <v>1943</v>
      </c>
      <c r="M304" s="57" t="s">
        <v>1944</v>
      </c>
      <c r="N304" s="58" t="s">
        <v>1945</v>
      </c>
    </row>
    <row r="305" spans="1:14" ht="15" customHeight="1" x14ac:dyDescent="0.15">
      <c r="A305" s="57" t="s">
        <v>2018</v>
      </c>
      <c r="B305" s="335">
        <v>215.93799999999999</v>
      </c>
      <c r="C305" s="335">
        <v>407.15499999999997</v>
      </c>
      <c r="D305" s="335">
        <v>650.71799999999996</v>
      </c>
      <c r="E305" s="335">
        <v>755.73900000000003</v>
      </c>
      <c r="F305" s="335">
        <v>108.152</v>
      </c>
      <c r="G305" s="335">
        <v>121.16800000000001</v>
      </c>
      <c r="H305" s="57" t="s">
        <v>1765</v>
      </c>
      <c r="I305" s="57">
        <v>365</v>
      </c>
      <c r="J305" s="57" t="s">
        <v>1799</v>
      </c>
      <c r="K305" s="57" t="s">
        <v>1200</v>
      </c>
      <c r="L305" s="57" t="s">
        <v>1943</v>
      </c>
      <c r="M305" s="57" t="s">
        <v>1944</v>
      </c>
      <c r="N305" s="58" t="s">
        <v>1949</v>
      </c>
    </row>
    <row r="306" spans="1:14" ht="15" customHeight="1" x14ac:dyDescent="0.15">
      <c r="A306" s="57" t="s">
        <v>2019</v>
      </c>
      <c r="B306" s="335">
        <v>215.93799999999999</v>
      </c>
      <c r="C306" s="335">
        <v>405.83600000000001</v>
      </c>
      <c r="D306" s="335">
        <v>690</v>
      </c>
      <c r="E306" s="335">
        <v>1050</v>
      </c>
      <c r="F306" s="335">
        <v>108</v>
      </c>
      <c r="G306" s="335">
        <v>120</v>
      </c>
      <c r="H306" s="57" t="s">
        <v>1820</v>
      </c>
      <c r="I306" s="57">
        <v>350</v>
      </c>
      <c r="J306" s="57" t="s">
        <v>1821</v>
      </c>
      <c r="K306" s="57" t="s">
        <v>1203</v>
      </c>
      <c r="L306" s="57" t="s">
        <v>1943</v>
      </c>
      <c r="M306" s="57" t="s">
        <v>1944</v>
      </c>
      <c r="N306" s="58" t="s">
        <v>1951</v>
      </c>
    </row>
    <row r="307" spans="1:14" ht="15" customHeight="1" x14ac:dyDescent="0.15">
      <c r="A307" s="57" t="s">
        <v>2020</v>
      </c>
      <c r="B307" s="335">
        <v>215.93799999999999</v>
      </c>
      <c r="C307" s="335">
        <v>415.52499999999998</v>
      </c>
      <c r="D307" s="335">
        <v>648.81500000000005</v>
      </c>
      <c r="E307" s="335">
        <v>762.22900000000004</v>
      </c>
      <c r="H307" s="57" t="s">
        <v>1765</v>
      </c>
      <c r="I307" s="57">
        <v>280</v>
      </c>
      <c r="J307" s="57" t="s">
        <v>1790</v>
      </c>
      <c r="K307" s="57" t="s">
        <v>1201</v>
      </c>
      <c r="L307" s="57" t="s">
        <v>2000</v>
      </c>
      <c r="M307" s="57" t="s">
        <v>1944</v>
      </c>
      <c r="N307" s="58" t="s">
        <v>2001</v>
      </c>
    </row>
    <row r="308" spans="1:14" ht="15" customHeight="1" x14ac:dyDescent="0.15">
      <c r="A308" s="57" t="s">
        <v>2021</v>
      </c>
      <c r="B308" s="335">
        <v>215.93799999999999</v>
      </c>
      <c r="C308" s="335">
        <v>382.05</v>
      </c>
      <c r="D308" s="335">
        <v>504.666</v>
      </c>
      <c r="F308" s="335">
        <v>100.08</v>
      </c>
      <c r="G308" s="335">
        <v>109.291</v>
      </c>
      <c r="H308" s="57" t="s">
        <v>1804</v>
      </c>
      <c r="I308" s="57">
        <v>300</v>
      </c>
      <c r="J308" s="57" t="s">
        <v>1805</v>
      </c>
      <c r="K308" s="57" t="s">
        <v>1199</v>
      </c>
      <c r="L308" s="57" t="s">
        <v>2003</v>
      </c>
      <c r="M308" s="57" t="s">
        <v>1944</v>
      </c>
      <c r="N308" s="58" t="s">
        <v>2004</v>
      </c>
    </row>
    <row r="309" spans="1:14" ht="15" customHeight="1" x14ac:dyDescent="0.15">
      <c r="A309" s="57" t="s">
        <v>2022</v>
      </c>
      <c r="B309" s="335">
        <v>215.93799999999999</v>
      </c>
      <c r="C309" s="335">
        <v>396.762</v>
      </c>
      <c r="D309" s="335">
        <v>595.70500000000004</v>
      </c>
      <c r="H309" s="57" t="s">
        <v>1815</v>
      </c>
      <c r="I309" s="57">
        <v>340</v>
      </c>
      <c r="J309" s="57" t="s">
        <v>1816</v>
      </c>
      <c r="K309" s="57" t="s">
        <v>1198</v>
      </c>
      <c r="L309" s="57" t="s">
        <v>2006</v>
      </c>
      <c r="M309" s="57" t="s">
        <v>1944</v>
      </c>
      <c r="N309" s="58" t="s">
        <v>2007</v>
      </c>
    </row>
    <row r="310" spans="1:14" ht="15" customHeight="1" x14ac:dyDescent="0.15">
      <c r="A310" s="57" t="s">
        <v>2023</v>
      </c>
      <c r="B310" s="335">
        <v>215.93799999999999</v>
      </c>
      <c r="C310" s="335">
        <v>386.25599999999997</v>
      </c>
      <c r="D310" s="335">
        <v>555.34299999999996</v>
      </c>
      <c r="H310" s="57" t="s">
        <v>1804</v>
      </c>
      <c r="I310" s="57">
        <v>330</v>
      </c>
      <c r="J310" s="57" t="s">
        <v>1826</v>
      </c>
      <c r="K310" s="57" t="s">
        <v>1197</v>
      </c>
      <c r="L310" s="57" t="s">
        <v>2009</v>
      </c>
      <c r="M310" s="57" t="s">
        <v>1944</v>
      </c>
      <c r="N310" s="58" t="s">
        <v>2010</v>
      </c>
    </row>
    <row r="311" spans="1:14" ht="15" customHeight="1" x14ac:dyDescent="0.15">
      <c r="A311" s="57" t="s">
        <v>2024</v>
      </c>
      <c r="B311" s="249">
        <v>4.5199999999999996</v>
      </c>
      <c r="C311" s="249">
        <v>9.4</v>
      </c>
      <c r="D311" s="249">
        <v>16.7</v>
      </c>
      <c r="E311" s="249">
        <v>23</v>
      </c>
      <c r="F311" s="249">
        <v>2.5</v>
      </c>
      <c r="G311" s="249">
        <v>2.81</v>
      </c>
      <c r="H311" s="57" t="s">
        <v>1765</v>
      </c>
      <c r="I311" s="57">
        <v>300</v>
      </c>
      <c r="J311" s="57" t="s">
        <v>1766</v>
      </c>
      <c r="K311" s="57" t="s">
        <v>1200</v>
      </c>
      <c r="L311" s="57" t="s">
        <v>1983</v>
      </c>
      <c r="M311" s="57" t="s">
        <v>1944</v>
      </c>
      <c r="N311" s="58" t="s">
        <v>1984</v>
      </c>
    </row>
    <row r="312" spans="1:14" ht="15" customHeight="1" x14ac:dyDescent="0.15">
      <c r="A312" s="57" t="s">
        <v>2025</v>
      </c>
      <c r="B312" s="249">
        <v>4.7699999999999996</v>
      </c>
      <c r="C312" s="249">
        <v>9.2100000000000009</v>
      </c>
      <c r="D312" s="249">
        <v>15.01</v>
      </c>
      <c r="E312" s="249">
        <v>24.16</v>
      </c>
      <c r="H312" s="57" t="s">
        <v>1771</v>
      </c>
      <c r="I312" s="57">
        <v>300</v>
      </c>
      <c r="J312" s="57" t="s">
        <v>1772</v>
      </c>
      <c r="K312" s="57" t="s">
        <v>1197</v>
      </c>
      <c r="L312" s="57" t="s">
        <v>1986</v>
      </c>
      <c r="M312" s="57" t="s">
        <v>1944</v>
      </c>
      <c r="N312" s="58" t="s">
        <v>1987</v>
      </c>
    </row>
    <row r="313" spans="1:14" ht="15" customHeight="1" x14ac:dyDescent="0.15">
      <c r="A313" s="57" t="s">
        <v>2026</v>
      </c>
      <c r="B313" s="249">
        <v>4.55</v>
      </c>
      <c r="C313" s="249">
        <v>9.09</v>
      </c>
      <c r="D313" s="249">
        <v>15.72</v>
      </c>
      <c r="E313" s="249">
        <v>23.17</v>
      </c>
      <c r="F313" s="249">
        <v>2.4500000000000002</v>
      </c>
      <c r="G313" s="249">
        <v>2.56</v>
      </c>
      <c r="H313" s="57" t="s">
        <v>1765</v>
      </c>
      <c r="I313" s="57">
        <v>350</v>
      </c>
      <c r="J313" s="57" t="s">
        <v>1777</v>
      </c>
      <c r="K313" s="57" t="s">
        <v>1203</v>
      </c>
      <c r="L313" s="57" t="s">
        <v>1943</v>
      </c>
      <c r="M313" s="57" t="s">
        <v>1944</v>
      </c>
      <c r="N313" s="58" t="s">
        <v>1989</v>
      </c>
    </row>
    <row r="314" spans="1:14" ht="15" customHeight="1" x14ac:dyDescent="0.15">
      <c r="A314" s="57" t="s">
        <v>2027</v>
      </c>
      <c r="B314" s="249">
        <v>4.49</v>
      </c>
      <c r="C314" s="249">
        <v>9.26</v>
      </c>
      <c r="D314" s="249">
        <v>15.17</v>
      </c>
      <c r="E314" s="249">
        <v>19.98</v>
      </c>
      <c r="F314" s="249">
        <v>2.44</v>
      </c>
      <c r="G314" s="249">
        <v>2.74</v>
      </c>
      <c r="H314" s="57" t="s">
        <v>1765</v>
      </c>
      <c r="I314" s="57">
        <v>315</v>
      </c>
      <c r="J314" s="57" t="s">
        <v>1785</v>
      </c>
      <c r="K314" s="57" t="s">
        <v>1197</v>
      </c>
      <c r="L314" s="57" t="s">
        <v>1943</v>
      </c>
      <c r="M314" s="57" t="s">
        <v>1944</v>
      </c>
      <c r="N314" s="58" t="s">
        <v>1991</v>
      </c>
    </row>
    <row r="315" spans="1:14" ht="15" customHeight="1" x14ac:dyDescent="0.15">
      <c r="A315" s="57" t="s">
        <v>2028</v>
      </c>
      <c r="B315" s="249">
        <v>4.7699999999999996</v>
      </c>
      <c r="C315" s="249">
        <v>9.19</v>
      </c>
      <c r="D315" s="249">
        <v>15.34</v>
      </c>
      <c r="E315" s="249">
        <v>22.7</v>
      </c>
      <c r="F315" s="249">
        <v>2.46</v>
      </c>
      <c r="G315" s="249">
        <v>2.65</v>
      </c>
      <c r="H315" s="57" t="s">
        <v>1835</v>
      </c>
      <c r="I315" s="57">
        <v>300</v>
      </c>
      <c r="J315" s="57" t="s">
        <v>1836</v>
      </c>
      <c r="K315" s="57" t="s">
        <v>1206</v>
      </c>
      <c r="L315" s="57" t="s">
        <v>1993</v>
      </c>
      <c r="M315" s="57" t="s">
        <v>1944</v>
      </c>
      <c r="N315" s="58" t="s">
        <v>1994</v>
      </c>
    </row>
    <row r="316" spans="1:14" ht="15" customHeight="1" x14ac:dyDescent="0.15">
      <c r="A316" s="57" t="s">
        <v>2029</v>
      </c>
      <c r="B316" s="249">
        <v>4.78</v>
      </c>
      <c r="C316" s="249">
        <v>9.01</v>
      </c>
      <c r="D316" s="249">
        <v>15.55</v>
      </c>
      <c r="E316" s="249">
        <v>19.73</v>
      </c>
      <c r="F316" s="249">
        <v>2.34</v>
      </c>
      <c r="G316" s="249">
        <v>2.58</v>
      </c>
      <c r="H316" s="57" t="s">
        <v>1809</v>
      </c>
      <c r="I316" s="57">
        <v>275</v>
      </c>
      <c r="J316" s="57" t="s">
        <v>1810</v>
      </c>
      <c r="K316" s="57" t="s">
        <v>1202</v>
      </c>
      <c r="L316" s="57" t="s">
        <v>1943</v>
      </c>
      <c r="M316" s="57" t="s">
        <v>1944</v>
      </c>
      <c r="N316" s="58" t="s">
        <v>1947</v>
      </c>
    </row>
    <row r="317" spans="1:14" ht="15" customHeight="1" x14ac:dyDescent="0.15">
      <c r="A317" s="57" t="s">
        <v>2030</v>
      </c>
      <c r="C317" s="249">
        <v>9.31</v>
      </c>
      <c r="D317" s="249">
        <v>15.65</v>
      </c>
      <c r="E317" s="249">
        <v>20</v>
      </c>
      <c r="F317" s="249">
        <v>2.46</v>
      </c>
      <c r="G317" s="249">
        <v>2.77</v>
      </c>
      <c r="H317" s="57" t="s">
        <v>1771</v>
      </c>
      <c r="I317" s="57">
        <v>315</v>
      </c>
      <c r="J317" s="57" t="s">
        <v>1795</v>
      </c>
      <c r="K317" s="57" t="s">
        <v>1201</v>
      </c>
      <c r="L317" s="57" t="s">
        <v>1943</v>
      </c>
      <c r="M317" s="57" t="s">
        <v>1944</v>
      </c>
      <c r="N317" s="58" t="s">
        <v>1945</v>
      </c>
    </row>
    <row r="318" spans="1:14" ht="15" customHeight="1" x14ac:dyDescent="0.15">
      <c r="A318" s="57" t="s">
        <v>2031</v>
      </c>
      <c r="B318" s="249">
        <v>4.7699999999999996</v>
      </c>
      <c r="C318" s="249">
        <v>9.24</v>
      </c>
      <c r="D318" s="249">
        <v>14.56</v>
      </c>
      <c r="E318" s="249">
        <v>17.02</v>
      </c>
      <c r="F318" s="249">
        <v>2.44</v>
      </c>
      <c r="G318" s="249">
        <v>2.66</v>
      </c>
      <c r="H318" s="57" t="s">
        <v>1765</v>
      </c>
      <c r="I318" s="57">
        <v>365</v>
      </c>
      <c r="J318" s="57" t="s">
        <v>1799</v>
      </c>
      <c r="K318" s="57" t="s">
        <v>1200</v>
      </c>
      <c r="L318" s="57" t="s">
        <v>1943</v>
      </c>
      <c r="M318" s="57" t="s">
        <v>1944</v>
      </c>
      <c r="N318" s="58" t="s">
        <v>1949</v>
      </c>
    </row>
    <row r="319" spans="1:14" ht="15" customHeight="1" x14ac:dyDescent="0.15">
      <c r="A319" s="57" t="s">
        <v>2032</v>
      </c>
      <c r="B319" s="249">
        <v>4.51</v>
      </c>
      <c r="C319" s="249">
        <v>9.16</v>
      </c>
      <c r="D319" s="249">
        <v>15.85</v>
      </c>
      <c r="E319" s="249">
        <v>25</v>
      </c>
      <c r="F319" s="249">
        <v>2.4500000000000002</v>
      </c>
      <c r="G319" s="249">
        <v>2.63</v>
      </c>
      <c r="H319" s="57" t="s">
        <v>1820</v>
      </c>
      <c r="I319" s="57">
        <v>350</v>
      </c>
      <c r="J319" s="57" t="s">
        <v>1821</v>
      </c>
      <c r="K319" s="57" t="s">
        <v>1203</v>
      </c>
      <c r="L319" s="57" t="s">
        <v>1943</v>
      </c>
      <c r="M319" s="57" t="s">
        <v>1944</v>
      </c>
      <c r="N319" s="58" t="s">
        <v>1951</v>
      </c>
    </row>
    <row r="320" spans="1:14" ht="15" customHeight="1" x14ac:dyDescent="0.15">
      <c r="A320" s="57" t="s">
        <v>2033</v>
      </c>
      <c r="B320" s="249">
        <v>4.78</v>
      </c>
      <c r="C320" s="249">
        <v>9.58</v>
      </c>
      <c r="D320" s="249">
        <v>15.37</v>
      </c>
      <c r="E320" s="249">
        <v>18.239999999999998</v>
      </c>
      <c r="H320" s="57" t="s">
        <v>1765</v>
      </c>
      <c r="I320" s="57">
        <v>280</v>
      </c>
      <c r="J320" s="57" t="s">
        <v>1790</v>
      </c>
      <c r="K320" s="57" t="s">
        <v>1201</v>
      </c>
      <c r="L320" s="57" t="s">
        <v>2000</v>
      </c>
      <c r="M320" s="57" t="s">
        <v>1944</v>
      </c>
      <c r="N320" s="58" t="s">
        <v>2001</v>
      </c>
    </row>
    <row r="321" spans="1:14" ht="15" customHeight="1" x14ac:dyDescent="0.15">
      <c r="A321" s="57" t="s">
        <v>2034</v>
      </c>
      <c r="B321" s="249">
        <v>4.75</v>
      </c>
      <c r="C321" s="249">
        <v>8.65</v>
      </c>
      <c r="D321" s="249">
        <v>11.43</v>
      </c>
      <c r="F321" s="249">
        <v>2.2599999999999998</v>
      </c>
      <c r="G321" s="249">
        <v>2.4700000000000002</v>
      </c>
      <c r="H321" s="57" t="s">
        <v>1804</v>
      </c>
      <c r="I321" s="57">
        <v>300</v>
      </c>
      <c r="J321" s="57" t="s">
        <v>1805</v>
      </c>
      <c r="K321" s="57" t="s">
        <v>1199</v>
      </c>
      <c r="L321" s="57" t="s">
        <v>2003</v>
      </c>
      <c r="M321" s="57" t="s">
        <v>1944</v>
      </c>
      <c r="N321" s="58" t="s">
        <v>2004</v>
      </c>
    </row>
    <row r="322" spans="1:14" ht="15" customHeight="1" x14ac:dyDescent="0.15">
      <c r="A322" s="57" t="s">
        <v>2035</v>
      </c>
      <c r="B322" s="249">
        <v>4.76</v>
      </c>
      <c r="C322" s="249">
        <v>8.9700000000000006</v>
      </c>
      <c r="D322" s="249">
        <v>13.56</v>
      </c>
      <c r="F322" s="249">
        <v>2.31</v>
      </c>
      <c r="G322" s="249">
        <v>2.74</v>
      </c>
      <c r="H322" s="57" t="s">
        <v>1815</v>
      </c>
      <c r="I322" s="57">
        <v>340</v>
      </c>
      <c r="J322" s="57" t="s">
        <v>1816</v>
      </c>
      <c r="K322" s="57" t="s">
        <v>1197</v>
      </c>
      <c r="L322" s="57" t="s">
        <v>2006</v>
      </c>
      <c r="M322" s="57" t="s">
        <v>1944</v>
      </c>
      <c r="N322" s="58" t="s">
        <v>2007</v>
      </c>
    </row>
    <row r="323" spans="1:14" ht="15" customHeight="1" x14ac:dyDescent="0.15">
      <c r="A323" s="57" t="s">
        <v>2036</v>
      </c>
      <c r="B323" s="249">
        <v>4.7699999999999996</v>
      </c>
      <c r="C323" s="249">
        <v>8.74</v>
      </c>
      <c r="D323" s="249">
        <v>12.06</v>
      </c>
      <c r="F323" s="249">
        <v>2.31</v>
      </c>
      <c r="G323" s="249">
        <v>2.5099999999999998</v>
      </c>
      <c r="H323" s="57" t="s">
        <v>1804</v>
      </c>
      <c r="I323" s="57">
        <v>330</v>
      </c>
      <c r="J323" s="57" t="s">
        <v>1826</v>
      </c>
      <c r="K323" s="57" t="s">
        <v>1197</v>
      </c>
      <c r="L323" s="57" t="s">
        <v>2009</v>
      </c>
      <c r="M323" s="57" t="s">
        <v>1944</v>
      </c>
      <c r="N323" s="58" t="s">
        <v>2010</v>
      </c>
    </row>
    <row r="324" spans="1:14" ht="15" customHeight="1" x14ac:dyDescent="0.15">
      <c r="A324" s="57" t="s">
        <v>2037</v>
      </c>
      <c r="C324" s="335">
        <v>34.529000000000003</v>
      </c>
      <c r="D324" s="335">
        <v>48.436</v>
      </c>
      <c r="E324" s="335">
        <v>60.783000000000001</v>
      </c>
      <c r="F324" s="335">
        <v>9</v>
      </c>
      <c r="G324" s="335">
        <v>9.8480000000000008</v>
      </c>
      <c r="H324" s="57" t="s">
        <v>1765</v>
      </c>
      <c r="I324" s="57">
        <v>350</v>
      </c>
      <c r="J324" s="57" t="s">
        <v>1777</v>
      </c>
      <c r="K324" s="57" t="s">
        <v>1203</v>
      </c>
      <c r="L324" s="57" t="s">
        <v>1943</v>
      </c>
      <c r="M324" s="57" t="s">
        <v>1944</v>
      </c>
      <c r="N324" s="58" t="s">
        <v>1989</v>
      </c>
    </row>
    <row r="325" spans="1:14" ht="15" customHeight="1" x14ac:dyDescent="0.15">
      <c r="A325" s="57" t="s">
        <v>2038</v>
      </c>
      <c r="C325" s="335">
        <v>34.488999999999997</v>
      </c>
      <c r="D325" s="335">
        <v>48.015999999999998</v>
      </c>
      <c r="E325" s="335">
        <v>60.02</v>
      </c>
      <c r="F325" s="335">
        <v>9.0540000000000003</v>
      </c>
      <c r="G325" s="335">
        <v>9.7539999999999996</v>
      </c>
      <c r="H325" s="57" t="s">
        <v>1835</v>
      </c>
      <c r="I325" s="57">
        <v>300</v>
      </c>
      <c r="J325" s="57" t="s">
        <v>1836</v>
      </c>
      <c r="K325" s="57" t="s">
        <v>1206</v>
      </c>
      <c r="L325" s="57" t="s">
        <v>1993</v>
      </c>
      <c r="M325" s="57" t="s">
        <v>1944</v>
      </c>
      <c r="N325" s="58" t="s">
        <v>1994</v>
      </c>
    </row>
    <row r="326" spans="1:14" ht="15" customHeight="1" x14ac:dyDescent="0.15">
      <c r="A326" s="57" t="s">
        <v>2039</v>
      </c>
      <c r="C326" s="335">
        <v>34.384999999999998</v>
      </c>
      <c r="D326" s="335">
        <v>48.377000000000002</v>
      </c>
      <c r="E326" s="335">
        <v>63.124000000000002</v>
      </c>
      <c r="F326" s="335">
        <v>9</v>
      </c>
      <c r="G326" s="335">
        <v>9.7040000000000006</v>
      </c>
      <c r="H326" s="57" t="s">
        <v>1809</v>
      </c>
      <c r="I326" s="57">
        <v>275</v>
      </c>
      <c r="J326" s="57" t="s">
        <v>1810</v>
      </c>
      <c r="K326" s="57" t="s">
        <v>1202</v>
      </c>
      <c r="L326" s="57" t="s">
        <v>1943</v>
      </c>
      <c r="M326" s="57" t="s">
        <v>1944</v>
      </c>
      <c r="N326" s="58" t="s">
        <v>1947</v>
      </c>
    </row>
    <row r="327" spans="1:14" ht="15" customHeight="1" x14ac:dyDescent="0.15">
      <c r="A327" s="57" t="s">
        <v>2040</v>
      </c>
      <c r="C327" s="335">
        <v>35.082000000000001</v>
      </c>
      <c r="D327" s="335">
        <v>55.725999999999999</v>
      </c>
      <c r="E327" s="335">
        <v>69.986999999999995</v>
      </c>
      <c r="F327" s="335">
        <v>9.1999999999999993</v>
      </c>
      <c r="G327" s="335">
        <v>10.201000000000001</v>
      </c>
      <c r="H327" s="57" t="s">
        <v>1771</v>
      </c>
      <c r="I327" s="57">
        <v>315</v>
      </c>
      <c r="J327" s="57" t="s">
        <v>1795</v>
      </c>
      <c r="K327" s="57" t="s">
        <v>1201</v>
      </c>
      <c r="L327" s="57" t="s">
        <v>1943</v>
      </c>
      <c r="M327" s="57" t="s">
        <v>1944</v>
      </c>
      <c r="N327" s="58" t="s">
        <v>1945</v>
      </c>
    </row>
    <row r="328" spans="1:14" ht="15" customHeight="1" x14ac:dyDescent="0.15">
      <c r="A328" s="57" t="s">
        <v>2041</v>
      </c>
      <c r="C328" s="335">
        <v>34.680999999999997</v>
      </c>
      <c r="D328" s="335">
        <v>48.5</v>
      </c>
      <c r="E328" s="335">
        <v>64.599999999999994</v>
      </c>
      <c r="F328" s="335">
        <v>9</v>
      </c>
      <c r="G328" s="335">
        <v>10</v>
      </c>
      <c r="H328" s="57" t="s">
        <v>1820</v>
      </c>
      <c r="I328" s="57">
        <v>350</v>
      </c>
      <c r="J328" s="57" t="s">
        <v>1821</v>
      </c>
      <c r="K328" s="57" t="s">
        <v>1203</v>
      </c>
      <c r="L328" s="57" t="s">
        <v>1943</v>
      </c>
      <c r="M328" s="57" t="s">
        <v>1944</v>
      </c>
      <c r="N328" s="58" t="s">
        <v>1951</v>
      </c>
    </row>
    <row r="329" spans="1:14" ht="15" customHeight="1" x14ac:dyDescent="0.15">
      <c r="A329" s="57" t="s">
        <v>2042</v>
      </c>
      <c r="C329" s="335">
        <v>33.826000000000001</v>
      </c>
      <c r="D329" s="335">
        <v>41.469000000000001</v>
      </c>
      <c r="F329" s="335">
        <v>8.6120000000000001</v>
      </c>
      <c r="G329" s="335">
        <v>9.4909999999999997</v>
      </c>
      <c r="H329" s="57" t="s">
        <v>1804</v>
      </c>
      <c r="I329" s="57">
        <v>300</v>
      </c>
      <c r="J329" s="57" t="s">
        <v>1805</v>
      </c>
      <c r="K329" s="57" t="s">
        <v>1199</v>
      </c>
      <c r="L329" s="57" t="s">
        <v>2003</v>
      </c>
      <c r="M329" s="57" t="s">
        <v>1944</v>
      </c>
      <c r="N329" s="58" t="s">
        <v>2004</v>
      </c>
    </row>
    <row r="330" spans="1:14" ht="15" customHeight="1" x14ac:dyDescent="0.15">
      <c r="A330" s="57" t="s">
        <v>2043</v>
      </c>
      <c r="C330" s="335">
        <v>270.51799999999997</v>
      </c>
      <c r="D330" s="335">
        <v>474.83699999999999</v>
      </c>
      <c r="E330" s="335">
        <v>639.50199999999995</v>
      </c>
      <c r="H330" s="57" t="s">
        <v>1765</v>
      </c>
      <c r="I330" s="57">
        <v>300</v>
      </c>
      <c r="J330" s="57" t="s">
        <v>1766</v>
      </c>
      <c r="K330" s="57" t="s">
        <v>1199</v>
      </c>
      <c r="L330" s="57" t="s">
        <v>1983</v>
      </c>
      <c r="M330" s="57" t="s">
        <v>1944</v>
      </c>
      <c r="N330" s="58" t="s">
        <v>1984</v>
      </c>
    </row>
    <row r="331" spans="1:14" ht="15" customHeight="1" x14ac:dyDescent="0.15">
      <c r="A331" s="57" t="s">
        <v>2044</v>
      </c>
      <c r="B331" s="335">
        <v>162.35400000000001</v>
      </c>
      <c r="C331" s="335">
        <v>262.71499999999997</v>
      </c>
      <c r="D331" s="335">
        <v>447.80500000000001</v>
      </c>
      <c r="E331" s="335">
        <v>635.14499999999998</v>
      </c>
      <c r="F331" s="335">
        <v>70.947999999999993</v>
      </c>
      <c r="G331" s="335">
        <v>74.028000000000006</v>
      </c>
      <c r="H331" s="57" t="s">
        <v>1765</v>
      </c>
      <c r="I331" s="57">
        <v>350</v>
      </c>
      <c r="J331" s="57" t="s">
        <v>1777</v>
      </c>
      <c r="K331" s="57" t="s">
        <v>1203</v>
      </c>
      <c r="L331" s="57" t="s">
        <v>1943</v>
      </c>
      <c r="M331" s="57" t="s">
        <v>1944</v>
      </c>
      <c r="N331" s="58" t="s">
        <v>2045</v>
      </c>
    </row>
    <row r="332" spans="1:14" ht="15" customHeight="1" x14ac:dyDescent="0.15">
      <c r="A332" s="57" t="s">
        <v>2046</v>
      </c>
      <c r="B332" s="335">
        <v>31.382999999999999</v>
      </c>
      <c r="C332" s="335">
        <v>268.71800000000002</v>
      </c>
      <c r="D332" s="335">
        <v>453.58199999999999</v>
      </c>
      <c r="E332" s="335">
        <v>620.96199999999999</v>
      </c>
      <c r="H332" s="57" t="s">
        <v>1765</v>
      </c>
      <c r="I332" s="57">
        <v>315</v>
      </c>
      <c r="J332" s="57" t="s">
        <v>1785</v>
      </c>
      <c r="K332" s="57" t="s">
        <v>1198</v>
      </c>
      <c r="L332" s="57" t="s">
        <v>1943</v>
      </c>
      <c r="M332" s="57" t="s">
        <v>1944</v>
      </c>
      <c r="N332" s="58" t="s">
        <v>2047</v>
      </c>
    </row>
    <row r="333" spans="1:14" ht="15" customHeight="1" x14ac:dyDescent="0.15">
      <c r="A333" s="57" t="s">
        <v>2048</v>
      </c>
      <c r="B333" s="335">
        <v>0.71299999999999997</v>
      </c>
      <c r="C333" s="335">
        <v>267.60599999999999</v>
      </c>
      <c r="D333" s="335">
        <v>446.25200000000001</v>
      </c>
      <c r="E333" s="335">
        <v>661.91700000000003</v>
      </c>
      <c r="F333" s="335">
        <v>72.078999999999994</v>
      </c>
      <c r="G333" s="335">
        <v>77.787999999999997</v>
      </c>
      <c r="H333" s="57" t="s">
        <v>1835</v>
      </c>
      <c r="I333" s="57">
        <v>300</v>
      </c>
      <c r="J333" s="57" t="s">
        <v>1836</v>
      </c>
      <c r="K333" s="57" t="s">
        <v>1206</v>
      </c>
      <c r="L333" s="57" t="s">
        <v>1993</v>
      </c>
      <c r="M333" s="57" t="s">
        <v>1944</v>
      </c>
      <c r="N333" s="58" t="s">
        <v>2049</v>
      </c>
    </row>
    <row r="334" spans="1:14" ht="15" customHeight="1" x14ac:dyDescent="0.15">
      <c r="A334" s="57" t="s">
        <v>2050</v>
      </c>
      <c r="B334" s="335">
        <v>22.201000000000001</v>
      </c>
      <c r="C334" s="335">
        <v>275.18599999999998</v>
      </c>
      <c r="D334" s="335">
        <v>465.60199999999998</v>
      </c>
      <c r="E334" s="335">
        <v>588.84799999999996</v>
      </c>
      <c r="F334" s="335">
        <v>73.143000000000001</v>
      </c>
      <c r="G334" s="335">
        <v>80.445999999999998</v>
      </c>
      <c r="H334" s="57" t="s">
        <v>1809</v>
      </c>
      <c r="I334" s="57">
        <v>275</v>
      </c>
      <c r="J334" s="57" t="s">
        <v>1810</v>
      </c>
      <c r="K334" s="57" t="s">
        <v>1202</v>
      </c>
      <c r="L334" s="57" t="s">
        <v>1943</v>
      </c>
      <c r="M334" s="57" t="s">
        <v>1944</v>
      </c>
      <c r="N334" s="58" t="s">
        <v>2051</v>
      </c>
    </row>
    <row r="335" spans="1:14" ht="15" customHeight="1" x14ac:dyDescent="0.15">
      <c r="A335" s="57" t="s">
        <v>2052</v>
      </c>
      <c r="B335" s="335">
        <v>15.311</v>
      </c>
      <c r="C335" s="335">
        <v>269.43200000000002</v>
      </c>
      <c r="D335" s="335">
        <v>452.11500000000001</v>
      </c>
      <c r="E335" s="335">
        <v>579.46199999999999</v>
      </c>
      <c r="F335" s="335">
        <v>71.409000000000006</v>
      </c>
      <c r="G335" s="335">
        <v>80.284000000000006</v>
      </c>
      <c r="H335" s="57" t="s">
        <v>1771</v>
      </c>
      <c r="I335" s="57">
        <v>315</v>
      </c>
      <c r="J335" s="57" t="s">
        <v>1795</v>
      </c>
      <c r="K335" s="57" t="s">
        <v>1201</v>
      </c>
      <c r="L335" s="57" t="s">
        <v>1943</v>
      </c>
      <c r="M335" s="57" t="s">
        <v>1944</v>
      </c>
      <c r="N335" s="58" t="s">
        <v>2053</v>
      </c>
    </row>
    <row r="336" spans="1:14" ht="15" customHeight="1" x14ac:dyDescent="0.15">
      <c r="A336" s="57" t="s">
        <v>2054</v>
      </c>
      <c r="B336" s="335">
        <v>5.7910000000000004</v>
      </c>
      <c r="C336" s="335">
        <v>266.38499999999999</v>
      </c>
      <c r="D336" s="335">
        <v>421.02800000000002</v>
      </c>
      <c r="E336" s="335">
        <v>490.96100000000001</v>
      </c>
      <c r="F336" s="335">
        <v>71.022999999999996</v>
      </c>
      <c r="G336" s="335">
        <v>77.622</v>
      </c>
      <c r="H336" s="57" t="s">
        <v>1765</v>
      </c>
      <c r="I336" s="57">
        <v>365</v>
      </c>
      <c r="J336" s="57" t="s">
        <v>1799</v>
      </c>
      <c r="K336" s="57" t="s">
        <v>1200</v>
      </c>
      <c r="L336" s="57" t="s">
        <v>1943</v>
      </c>
      <c r="M336" s="57" t="s">
        <v>1944</v>
      </c>
      <c r="N336" s="58" t="s">
        <v>2055</v>
      </c>
    </row>
    <row r="337" spans="1:19" ht="15" customHeight="1" x14ac:dyDescent="0.15">
      <c r="A337" s="57" t="s">
        <v>2056</v>
      </c>
      <c r="B337" s="335">
        <v>5.8129999999999997</v>
      </c>
      <c r="C337" s="335">
        <v>264.459</v>
      </c>
      <c r="D337" s="335">
        <v>451.07</v>
      </c>
      <c r="E337" s="335">
        <v>696.65</v>
      </c>
      <c r="F337" s="335">
        <v>70.92</v>
      </c>
      <c r="G337" s="335">
        <v>75.8</v>
      </c>
      <c r="H337" s="57" t="s">
        <v>1820</v>
      </c>
      <c r="I337" s="57">
        <v>350</v>
      </c>
      <c r="J337" s="57" t="s">
        <v>1821</v>
      </c>
      <c r="K337" s="57" t="s">
        <v>1203</v>
      </c>
      <c r="L337" s="57" t="s">
        <v>1943</v>
      </c>
      <c r="M337" s="57" t="s">
        <v>1944</v>
      </c>
      <c r="N337" s="58" t="s">
        <v>2057</v>
      </c>
    </row>
    <row r="338" spans="1:19" ht="15" customHeight="1" x14ac:dyDescent="0.15">
      <c r="A338" s="57" t="s">
        <v>2058</v>
      </c>
      <c r="C338" s="335">
        <v>278.10300000000001</v>
      </c>
      <c r="D338" s="335">
        <v>443.25599999999997</v>
      </c>
      <c r="E338" s="335">
        <v>527.39700000000005</v>
      </c>
      <c r="H338" s="57" t="s">
        <v>1765</v>
      </c>
      <c r="I338" s="57">
        <v>280</v>
      </c>
      <c r="J338" s="57" t="s">
        <v>1790</v>
      </c>
      <c r="K338" s="57" t="s">
        <v>1201</v>
      </c>
      <c r="L338" s="57" t="s">
        <v>2000</v>
      </c>
      <c r="M338" s="57" t="s">
        <v>1944</v>
      </c>
      <c r="N338" s="58" t="s">
        <v>2001</v>
      </c>
    </row>
    <row r="339" spans="1:19" ht="15" customHeight="1" x14ac:dyDescent="0.15">
      <c r="A339" s="57" t="s">
        <v>2059</v>
      </c>
      <c r="C339" s="335">
        <v>252.48500000000001</v>
      </c>
      <c r="D339" s="335">
        <v>335.726</v>
      </c>
      <c r="F339" s="335">
        <v>66.364999999999995</v>
      </c>
      <c r="G339" s="335">
        <v>72.36</v>
      </c>
      <c r="H339" s="57" t="s">
        <v>1804</v>
      </c>
      <c r="I339" s="57">
        <v>300</v>
      </c>
      <c r="J339" s="57" t="s">
        <v>1805</v>
      </c>
      <c r="K339" s="57" t="s">
        <v>1199</v>
      </c>
      <c r="L339" s="57" t="s">
        <v>2003</v>
      </c>
      <c r="M339" s="57" t="s">
        <v>1944</v>
      </c>
      <c r="N339" s="58" t="s">
        <v>2004</v>
      </c>
    </row>
    <row r="340" spans="1:19" ht="15" customHeight="1" x14ac:dyDescent="0.15">
      <c r="A340" s="57" t="s">
        <v>2060</v>
      </c>
      <c r="C340" s="249">
        <v>9.31</v>
      </c>
      <c r="D340" s="249">
        <v>15.91</v>
      </c>
      <c r="E340" s="249">
        <v>21.64</v>
      </c>
      <c r="F340" s="249">
        <v>2.4700000000000002</v>
      </c>
      <c r="G340" s="249">
        <v>2.75</v>
      </c>
      <c r="M340" s="57" t="s">
        <v>1569</v>
      </c>
      <c r="N340" s="58" t="s">
        <v>2061</v>
      </c>
    </row>
    <row r="341" spans="1:19" ht="15" customHeight="1" x14ac:dyDescent="0.15">
      <c r="A341" s="57" t="s">
        <v>2062</v>
      </c>
      <c r="C341" s="336">
        <v>338.96</v>
      </c>
      <c r="M341" s="57" t="s">
        <v>2063</v>
      </c>
      <c r="N341" s="58" t="s">
        <v>2064</v>
      </c>
    </row>
    <row r="342" spans="1:19" ht="15" customHeight="1" x14ac:dyDescent="0.15">
      <c r="A342" s="57" t="s">
        <v>2065</v>
      </c>
      <c r="C342" s="336">
        <v>328.66</v>
      </c>
      <c r="M342" s="57" t="s">
        <v>2063</v>
      </c>
      <c r="N342" s="58" t="s">
        <v>2066</v>
      </c>
    </row>
    <row r="343" spans="1:19" ht="15" customHeight="1" x14ac:dyDescent="0.15">
      <c r="A343" s="57"/>
      <c r="D343" s="249"/>
      <c r="M343" s="57"/>
      <c r="N343" s="58"/>
    </row>
    <row r="344" spans="1:19" ht="13.5" customHeight="1" x14ac:dyDescent="0.15">
      <c r="A344" s="57" t="s">
        <v>2067</v>
      </c>
      <c r="C344" s="249">
        <v>411.65</v>
      </c>
      <c r="D344" s="249">
        <v>692.21</v>
      </c>
      <c r="F344" s="249">
        <v>108.98</v>
      </c>
      <c r="G344" s="249">
        <v>124.48</v>
      </c>
      <c r="N344" t="s">
        <v>2068</v>
      </c>
    </row>
    <row r="346" spans="1:19" ht="15" customHeight="1" x14ac:dyDescent="0.15">
      <c r="A346" s="56" t="s">
        <v>2069</v>
      </c>
    </row>
    <row r="347" spans="1:19" ht="15" customHeight="1" x14ac:dyDescent="0.15">
      <c r="N347" s="58" t="s">
        <v>2070</v>
      </c>
    </row>
    <row r="348" spans="1:19" ht="15" customHeight="1" x14ac:dyDescent="0.15">
      <c r="A348" s="56" t="s">
        <v>2071</v>
      </c>
      <c r="B348" s="56" t="s">
        <v>476</v>
      </c>
      <c r="C348" s="56" t="s">
        <v>477</v>
      </c>
      <c r="D348" s="56" t="s">
        <v>479</v>
      </c>
      <c r="E348" s="56" t="s">
        <v>492</v>
      </c>
      <c r="F348" s="56" t="s">
        <v>2072</v>
      </c>
      <c r="G348" s="56" t="s">
        <v>2073</v>
      </c>
      <c r="H348" s="56" t="s">
        <v>2074</v>
      </c>
      <c r="I348" s="56" t="s">
        <v>517</v>
      </c>
      <c r="J348" s="56" t="s">
        <v>519</v>
      </c>
      <c r="K348" s="56" t="s">
        <v>521</v>
      </c>
      <c r="L348" s="56" t="s">
        <v>2075</v>
      </c>
      <c r="M348" s="56" t="s">
        <v>507</v>
      </c>
      <c r="N348" s="56" t="s">
        <v>508</v>
      </c>
      <c r="O348" s="56" t="s">
        <v>509</v>
      </c>
      <c r="P348" s="56" t="s">
        <v>510</v>
      </c>
      <c r="Q348" s="56" t="s">
        <v>1465</v>
      </c>
      <c r="R348" s="56" t="s">
        <v>1682</v>
      </c>
      <c r="S348" s="56" t="s">
        <v>513</v>
      </c>
    </row>
    <row r="349" spans="1:19" ht="15" customHeight="1" x14ac:dyDescent="0.15">
      <c r="A349" s="57" t="s">
        <v>2076</v>
      </c>
      <c r="B349" s="57" t="s">
        <v>1684</v>
      </c>
      <c r="C349" s="57" t="s">
        <v>1685</v>
      </c>
      <c r="D349" s="57" t="s">
        <v>2077</v>
      </c>
      <c r="E349" s="249">
        <v>15.59</v>
      </c>
      <c r="F349" s="337">
        <v>74.34</v>
      </c>
      <c r="G349" s="254">
        <v>0.39889999999999998</v>
      </c>
      <c r="H349" s="254">
        <v>0.28449999999999998</v>
      </c>
      <c r="I349" s="335">
        <v>23.126000000000001</v>
      </c>
      <c r="J349" s="335">
        <v>-0.623</v>
      </c>
      <c r="K349" s="335">
        <v>26.914000000000001</v>
      </c>
      <c r="L349" s="240">
        <v>0.65869999999999995</v>
      </c>
      <c r="M349" s="57" t="s">
        <v>2078</v>
      </c>
      <c r="N349" s="57" t="s">
        <v>2079</v>
      </c>
      <c r="O349" s="57" t="s">
        <v>2080</v>
      </c>
      <c r="P349" s="57" t="s">
        <v>2081</v>
      </c>
      <c r="Q349" s="57" t="s">
        <v>1370</v>
      </c>
      <c r="R349" s="58" t="s">
        <v>2082</v>
      </c>
      <c r="S349" s="338">
        <v>105.97</v>
      </c>
    </row>
    <row r="350" spans="1:19" ht="15" customHeight="1" x14ac:dyDescent="0.15">
      <c r="A350" s="57" t="s">
        <v>2083</v>
      </c>
      <c r="B350" s="57" t="s">
        <v>1696</v>
      </c>
      <c r="C350" s="57" t="s">
        <v>1697</v>
      </c>
      <c r="D350" s="57" t="s">
        <v>2077</v>
      </c>
      <c r="E350" s="249">
        <v>9.4600000000000009</v>
      </c>
      <c r="F350" s="337">
        <v>233.93</v>
      </c>
      <c r="G350" s="254">
        <v>0.1066</v>
      </c>
      <c r="H350" s="254">
        <v>6.88E-2</v>
      </c>
      <c r="I350" s="335">
        <v>4.335</v>
      </c>
      <c r="J350" s="335">
        <v>-0.97399999999999998</v>
      </c>
      <c r="K350" s="335">
        <v>6.7350000000000003</v>
      </c>
      <c r="L350" s="240">
        <v>0.47089999999999999</v>
      </c>
      <c r="M350" s="57" t="s">
        <v>2084</v>
      </c>
      <c r="N350" s="57" t="s">
        <v>2085</v>
      </c>
      <c r="O350" s="57" t="s">
        <v>2086</v>
      </c>
      <c r="P350" s="57" t="s">
        <v>2087</v>
      </c>
      <c r="Q350" s="57" t="s">
        <v>1370</v>
      </c>
      <c r="R350" s="58" t="s">
        <v>2088</v>
      </c>
      <c r="S350" s="338">
        <v>50.95</v>
      </c>
    </row>
    <row r="351" spans="1:19" ht="15" customHeight="1" x14ac:dyDescent="0.15">
      <c r="A351" s="57" t="s">
        <v>2089</v>
      </c>
      <c r="B351" s="57" t="s">
        <v>1704</v>
      </c>
      <c r="C351" s="57" t="s">
        <v>1705</v>
      </c>
      <c r="D351" s="57" t="s">
        <v>2077</v>
      </c>
      <c r="E351" s="249">
        <v>1.1299999999999999</v>
      </c>
      <c r="F351" s="57" t="s">
        <v>247</v>
      </c>
      <c r="G351" s="254">
        <v>-4.19E-2</v>
      </c>
      <c r="H351" s="254">
        <v>-2.3E-3</v>
      </c>
      <c r="I351" s="335">
        <v>-0.26700000000000002</v>
      </c>
      <c r="J351" s="335">
        <v>-14.646000000000001</v>
      </c>
      <c r="K351" s="335">
        <v>-4.9489999999999998</v>
      </c>
      <c r="L351" s="240">
        <v>0.19389999999999999</v>
      </c>
      <c r="M351" s="57" t="s">
        <v>2090</v>
      </c>
      <c r="N351" s="57" t="s">
        <v>2091</v>
      </c>
      <c r="O351" s="57" t="s">
        <v>2092</v>
      </c>
      <c r="P351" s="57" t="s">
        <v>2093</v>
      </c>
      <c r="Q351" s="57" t="s">
        <v>1370</v>
      </c>
      <c r="R351" s="58" t="s">
        <v>2094</v>
      </c>
      <c r="S351" s="338">
        <v>63.1</v>
      </c>
    </row>
    <row r="352" spans="1:19" ht="15" customHeight="1" x14ac:dyDescent="0.15">
      <c r="A352" s="57" t="s">
        <v>2095</v>
      </c>
      <c r="B352" s="57" t="s">
        <v>1708</v>
      </c>
      <c r="C352" s="57" t="s">
        <v>1709</v>
      </c>
      <c r="D352" s="57" t="s">
        <v>2077</v>
      </c>
      <c r="E352" s="249">
        <v>4.3</v>
      </c>
      <c r="F352" s="337">
        <v>90.21</v>
      </c>
      <c r="G352" s="254">
        <v>0.16139999999999999</v>
      </c>
      <c r="H352" s="254">
        <v>0.18659999999999999</v>
      </c>
      <c r="I352" s="335">
        <v>2.6701000000000001</v>
      </c>
      <c r="J352" s="335">
        <v>-0.35410000000000003</v>
      </c>
      <c r="K352" s="335">
        <v>1.3964000000000001</v>
      </c>
      <c r="L352" s="240">
        <v>0.47289999999999999</v>
      </c>
      <c r="M352" s="57" t="s">
        <v>2096</v>
      </c>
      <c r="N352" s="57" t="s">
        <v>2097</v>
      </c>
      <c r="O352" s="57" t="s">
        <v>2098</v>
      </c>
      <c r="P352" s="57" t="s">
        <v>2099</v>
      </c>
      <c r="Q352" s="57" t="s">
        <v>1370</v>
      </c>
      <c r="R352" s="58" t="s">
        <v>2100</v>
      </c>
      <c r="S352" s="338">
        <v>12.07</v>
      </c>
    </row>
    <row r="353" spans="1:19" ht="15" customHeight="1" x14ac:dyDescent="0.15">
      <c r="A353" s="57" t="s">
        <v>2101</v>
      </c>
      <c r="B353" s="57" t="s">
        <v>1717</v>
      </c>
      <c r="C353" s="57" t="s">
        <v>1718</v>
      </c>
      <c r="D353" s="57" t="s">
        <v>2077</v>
      </c>
      <c r="E353" s="249">
        <v>6.63</v>
      </c>
      <c r="F353" s="337">
        <v>33.36</v>
      </c>
      <c r="G353" s="254">
        <v>0.27900000000000003</v>
      </c>
      <c r="H353" s="254">
        <v>0.26129999999999998</v>
      </c>
      <c r="I353" s="335">
        <v>5.5410000000000004</v>
      </c>
      <c r="J353" s="335">
        <v>-1.1919999999999999</v>
      </c>
      <c r="K353" s="335">
        <v>12.82</v>
      </c>
      <c r="L353" s="240">
        <v>-3.1699999999999999E-2</v>
      </c>
      <c r="M353" s="57" t="s">
        <v>2102</v>
      </c>
      <c r="N353" s="57" t="s">
        <v>2103</v>
      </c>
      <c r="O353" s="57" t="s">
        <v>2104</v>
      </c>
      <c r="P353" s="57" t="s">
        <v>2105</v>
      </c>
      <c r="Q353" s="57" t="s">
        <v>1370</v>
      </c>
      <c r="R353" s="58" t="s">
        <v>2106</v>
      </c>
      <c r="S353" s="338">
        <v>42.88</v>
      </c>
    </row>
    <row r="354" spans="1:19" ht="15" customHeight="1" x14ac:dyDescent="0.15">
      <c r="A354" s="57" t="s">
        <v>2107</v>
      </c>
      <c r="B354" s="57" t="s">
        <v>1725</v>
      </c>
      <c r="C354" s="57" t="s">
        <v>1726</v>
      </c>
      <c r="D354" s="57" t="s">
        <v>2108</v>
      </c>
      <c r="E354" s="249">
        <v>19.13</v>
      </c>
      <c r="F354" s="337">
        <v>43.85</v>
      </c>
      <c r="G354" s="254">
        <v>0.50819999999999999</v>
      </c>
      <c r="H354" s="254">
        <v>0.317</v>
      </c>
      <c r="I354" s="335">
        <v>54.115499999999997</v>
      </c>
      <c r="J354" s="335">
        <v>-40.561399999999999</v>
      </c>
      <c r="K354" s="335">
        <v>31.959299999999999</v>
      </c>
      <c r="L354" s="240">
        <v>0.43080000000000002</v>
      </c>
      <c r="M354" s="57" t="s">
        <v>2109</v>
      </c>
      <c r="N354" s="57" t="s">
        <v>2110</v>
      </c>
      <c r="O354" s="57" t="s">
        <v>2111</v>
      </c>
      <c r="P354" s="57" t="s">
        <v>2112</v>
      </c>
      <c r="Q354" s="57" t="s">
        <v>1370</v>
      </c>
      <c r="R354" s="58" t="s">
        <v>2113</v>
      </c>
      <c r="S354" s="338">
        <v>173.73</v>
      </c>
    </row>
    <row r="355" spans="1:19" ht="15" customHeight="1" x14ac:dyDescent="0.15">
      <c r="A355" s="57" t="s">
        <v>2114</v>
      </c>
      <c r="B355" s="57" t="s">
        <v>1732</v>
      </c>
      <c r="C355" s="57" t="s">
        <v>1733</v>
      </c>
      <c r="D355" s="57" t="s">
        <v>2077</v>
      </c>
      <c r="E355" s="249">
        <v>176.51</v>
      </c>
      <c r="F355" s="337">
        <v>13.94</v>
      </c>
      <c r="G355" s="254">
        <v>0.74590000000000001</v>
      </c>
      <c r="H355" s="254">
        <v>0.61399999999999999</v>
      </c>
      <c r="I355" s="335">
        <v>84.968999999999994</v>
      </c>
      <c r="J355" s="335">
        <v>-30.712</v>
      </c>
      <c r="K355" s="335">
        <v>58.963000000000001</v>
      </c>
      <c r="L355" s="240">
        <v>1.0664</v>
      </c>
      <c r="M355" s="57" t="s">
        <v>2115</v>
      </c>
      <c r="N355" s="57" t="s">
        <v>247</v>
      </c>
      <c r="O355" s="57" t="s">
        <v>2116</v>
      </c>
      <c r="P355" s="57" t="s">
        <v>2117</v>
      </c>
      <c r="Q355" s="57" t="s">
        <v>1370</v>
      </c>
      <c r="R355" s="58" t="s">
        <v>2118</v>
      </c>
      <c r="S355" s="338">
        <v>275.20999999999998</v>
      </c>
    </row>
    <row r="356" spans="1:19" ht="15" customHeight="1" x14ac:dyDescent="0.15">
      <c r="A356" s="57" t="s">
        <v>2119</v>
      </c>
      <c r="B356" s="57" t="s">
        <v>1739</v>
      </c>
      <c r="C356" s="57" t="s">
        <v>1740</v>
      </c>
      <c r="D356" s="57" t="s">
        <v>2108</v>
      </c>
      <c r="E356" s="249">
        <v>1.37</v>
      </c>
      <c r="F356" s="337">
        <v>325.44</v>
      </c>
      <c r="G356" s="254">
        <v>0.18290000000000001</v>
      </c>
      <c r="H356" s="254">
        <v>0.1091</v>
      </c>
      <c r="I356" s="335">
        <v>0.90400000000000003</v>
      </c>
      <c r="J356" s="335">
        <v>-0.54500000000000004</v>
      </c>
      <c r="K356" s="335">
        <v>0.97899999999999998</v>
      </c>
      <c r="L356" s="240">
        <v>0.23169999999999999</v>
      </c>
      <c r="M356" s="57" t="s">
        <v>2120</v>
      </c>
      <c r="N356" s="57" t="s">
        <v>2121</v>
      </c>
      <c r="O356" s="57" t="s">
        <v>2122</v>
      </c>
      <c r="P356" s="57" t="s">
        <v>2123</v>
      </c>
      <c r="Q356" s="57" t="s">
        <v>1370</v>
      </c>
      <c r="R356" s="58" t="s">
        <v>2124</v>
      </c>
      <c r="S356" s="338">
        <v>6.06</v>
      </c>
    </row>
    <row r="357" spans="1:19" ht="15" customHeight="1" x14ac:dyDescent="0.15">
      <c r="A357" s="57" t="s">
        <v>2125</v>
      </c>
      <c r="B357" s="57" t="s">
        <v>1748</v>
      </c>
      <c r="C357" s="57" t="s">
        <v>139</v>
      </c>
      <c r="D357" s="57" t="s">
        <v>2077</v>
      </c>
      <c r="E357" s="249">
        <v>11.91</v>
      </c>
      <c r="F357" s="337">
        <v>46.26</v>
      </c>
      <c r="G357" s="254">
        <v>0.6038</v>
      </c>
      <c r="H357" s="254">
        <v>0.76339999999999997</v>
      </c>
      <c r="I357" s="335">
        <v>120.06699999999999</v>
      </c>
      <c r="J357" s="335">
        <v>-6.0419999999999998</v>
      </c>
      <c r="K357" s="335">
        <v>96.676000000000002</v>
      </c>
      <c r="L357" s="240">
        <f>IS!Y7/IS!X7-1</f>
        <v>0.88337289536107599</v>
      </c>
      <c r="M357" s="57" t="s">
        <v>2126</v>
      </c>
      <c r="N357" s="57" t="s">
        <v>2127</v>
      </c>
      <c r="O357" s="57" t="s">
        <v>2128</v>
      </c>
      <c r="P357" s="57" t="s">
        <v>2129</v>
      </c>
      <c r="Q357" s="57" t="s">
        <v>1370</v>
      </c>
      <c r="R357" s="58" t="s">
        <v>2130</v>
      </c>
      <c r="S357" s="338">
        <f>IS!Y7/1000</f>
        <v>406.69177627848001</v>
      </c>
    </row>
    <row r="358" spans="1:19" ht="13.5" customHeight="1" x14ac:dyDescent="0.15">
      <c r="A358" t="s">
        <v>2131</v>
      </c>
    </row>
    <row r="359" spans="1:19" ht="13.5" customHeight="1" x14ac:dyDescent="0.15">
      <c r="A359" s="57" t="s">
        <v>2132</v>
      </c>
      <c r="H359" s="335">
        <v>13751</v>
      </c>
      <c r="N359" t="s">
        <v>2133</v>
      </c>
    </row>
    <row r="360" spans="1:19" ht="13.5" customHeight="1" x14ac:dyDescent="0.15">
      <c r="A360" s="57" t="s">
        <v>2134</v>
      </c>
      <c r="H360" s="335">
        <v>2973</v>
      </c>
    </row>
    <row r="361" spans="1:19" ht="13.5" customHeight="1" x14ac:dyDescent="0.15">
      <c r="A361" s="57" t="s">
        <v>2135</v>
      </c>
      <c r="H361" s="335">
        <v>39177</v>
      </c>
    </row>
    <row r="362" spans="1:19" ht="13.5" customHeight="1" x14ac:dyDescent="0.15">
      <c r="A362" s="57" t="s">
        <v>2136</v>
      </c>
    </row>
    <row r="363" spans="1:19" ht="13.5" customHeight="1" x14ac:dyDescent="0.15">
      <c r="A363" s="57" t="s">
        <v>2137</v>
      </c>
    </row>
    <row r="364" spans="1:19" ht="13.5" customHeight="1" x14ac:dyDescent="0.15">
      <c r="A364" s="57" t="s">
        <v>2138</v>
      </c>
    </row>
    <row r="365" spans="1:19" ht="13.5" customHeight="1" x14ac:dyDescent="0.15">
      <c r="A365" s="57" t="s">
        <v>2139</v>
      </c>
      <c r="H365" s="335">
        <v>1105</v>
      </c>
    </row>
    <row r="367" spans="1:19" ht="13.5" customHeight="1" x14ac:dyDescent="0.15">
      <c r="A367" s="56" t="s">
        <v>2140</v>
      </c>
    </row>
    <row r="368" spans="1:19" ht="13.5" customHeight="1" x14ac:dyDescent="0.15">
      <c r="A368" s="57" t="s">
        <v>2141</v>
      </c>
      <c r="I368" s="323">
        <v>12886</v>
      </c>
      <c r="J368" s="323">
        <v>30237</v>
      </c>
      <c r="K368" s="323">
        <v>42783</v>
      </c>
      <c r="M368" s="322" t="s">
        <v>1470</v>
      </c>
      <c r="N368" s="58" t="s">
        <v>2142</v>
      </c>
    </row>
    <row r="369" spans="1:14" ht="13.5" customHeight="1" x14ac:dyDescent="0.15">
      <c r="A369" s="57" t="s">
        <v>2143</v>
      </c>
      <c r="J369" s="323">
        <v>43364</v>
      </c>
      <c r="K369" s="323">
        <v>51157</v>
      </c>
      <c r="M369" s="322" t="s">
        <v>2144</v>
      </c>
      <c r="N369" s="58" t="s">
        <v>2145</v>
      </c>
    </row>
    <row r="370" spans="1:14" ht="13.5" customHeight="1" x14ac:dyDescent="0.15">
      <c r="A370" s="56" t="s">
        <v>2146</v>
      </c>
    </row>
    <row r="371" spans="1:14" ht="13.5" customHeight="1" x14ac:dyDescent="0.15">
      <c r="A371" s="57" t="s">
        <v>2147</v>
      </c>
      <c r="J371" s="323">
        <v>119000</v>
      </c>
      <c r="K371" s="323">
        <v>279000</v>
      </c>
      <c r="M371" s="322" t="s">
        <v>2148</v>
      </c>
      <c r="N371" s="58" t="s">
        <v>2149</v>
      </c>
    </row>
    <row r="372" spans="1:14" ht="13.5" customHeight="1" x14ac:dyDescent="0.15">
      <c r="A372" s="57" t="s">
        <v>2150</v>
      </c>
      <c r="K372" s="323">
        <v>25000</v>
      </c>
      <c r="M372" s="322" t="s">
        <v>2151</v>
      </c>
      <c r="N372" s="58" t="s">
        <v>2152</v>
      </c>
    </row>
    <row r="373" spans="1:14" ht="13.5" customHeight="1" x14ac:dyDescent="0.15">
      <c r="A373" s="57" t="s">
        <v>2153</v>
      </c>
      <c r="J373" s="323">
        <v>30000</v>
      </c>
      <c r="K373" s="323">
        <v>29000</v>
      </c>
      <c r="M373" s="322" t="s">
        <v>2151</v>
      </c>
      <c r="N373" s="58" t="s">
        <v>2154</v>
      </c>
    </row>
    <row r="374" spans="1:14" ht="13.5" customHeight="1" x14ac:dyDescent="0.15">
      <c r="A374" s="57" t="s">
        <v>2155</v>
      </c>
      <c r="K374" s="323">
        <v>25000</v>
      </c>
      <c r="M374" s="322" t="s">
        <v>2151</v>
      </c>
      <c r="N374" s="58" t="s">
        <v>2156</v>
      </c>
    </row>
    <row r="375" spans="1:14" ht="13.5" customHeight="1" x14ac:dyDescent="0.15">
      <c r="A375" s="57" t="s">
        <v>2157</v>
      </c>
      <c r="K375" s="323">
        <v>8000</v>
      </c>
      <c r="M375" s="322" t="s">
        <v>2158</v>
      </c>
      <c r="N375" s="58" t="s">
        <v>2159</v>
      </c>
    </row>
    <row r="376" spans="1:14" ht="13.5" customHeight="1" x14ac:dyDescent="0.15">
      <c r="A376" s="57" t="s">
        <v>2160</v>
      </c>
      <c r="K376" s="323">
        <v>108500</v>
      </c>
      <c r="M376" s="322" t="s">
        <v>1470</v>
      </c>
      <c r="N376" s="58" t="s">
        <v>2161</v>
      </c>
    </row>
    <row r="377" spans="1:14" ht="13.5" customHeight="1" x14ac:dyDescent="0.15">
      <c r="A377" s="57" t="s">
        <v>2162</v>
      </c>
      <c r="K377" s="323">
        <v>11900</v>
      </c>
      <c r="M377" s="322" t="s">
        <v>2163</v>
      </c>
      <c r="N377" s="58" t="s">
        <v>2164</v>
      </c>
    </row>
  </sheetData>
  <phoneticPr fontId="61" type="noConversion"/>
  <pageMargins left="0.75" right="0.75" top="1" bottom="1" header="0.511811023622047" footer="0.511811023622047"/>
  <pageSetup paperSize="9" fitToHeight="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40"/>
  <sheetViews>
    <sheetView showGridLines="0" zoomScale="80" zoomScaleNormal="80" workbookViewId="0">
      <pane ySplit="5" topLeftCell="A6" activePane="bottomLeft" state="frozen"/>
      <selection pane="bottomLeft" activeCell="E64" sqref="E64"/>
    </sheetView>
  </sheetViews>
  <sheetFormatPr baseColWidth="10" defaultColWidth="9.5" defaultRowHeight="14" x14ac:dyDescent="0.15"/>
  <cols>
    <col min="1" max="1" width="24" customWidth="1"/>
    <col min="2" max="2" width="6.5" customWidth="1"/>
    <col min="3" max="4" width="76.1640625" customWidth="1"/>
    <col min="5" max="5" width="24" customWidth="1"/>
    <col min="6" max="6" width="71.83203125" customWidth="1"/>
    <col min="7" max="7" width="10.83203125" customWidth="1"/>
    <col min="8" max="8" width="32.6640625" customWidth="1"/>
  </cols>
  <sheetData>
    <row r="1" spans="1:8" ht="21.75" customHeight="1" x14ac:dyDescent="0.2">
      <c r="A1" s="68" t="s">
        <v>2165</v>
      </c>
      <c r="B1" s="68"/>
      <c r="C1" s="68"/>
      <c r="D1" s="68"/>
      <c r="E1" s="68"/>
      <c r="F1" s="68"/>
      <c r="G1" s="68"/>
      <c r="H1" s="68"/>
    </row>
    <row r="2" spans="1:8" ht="15" customHeight="1" x14ac:dyDescent="0.15">
      <c r="A2" s="56" t="s">
        <v>646</v>
      </c>
    </row>
    <row r="3" spans="1:8" ht="15" customHeight="1" x14ac:dyDescent="0.15">
      <c r="A3" s="57" t="s">
        <v>647</v>
      </c>
    </row>
    <row r="5" spans="1:8" ht="15" customHeight="1" x14ac:dyDescent="0.15">
      <c r="A5" s="59" t="s">
        <v>1465</v>
      </c>
      <c r="B5" s="59" t="s">
        <v>2166</v>
      </c>
      <c r="C5" s="59" t="s">
        <v>2167</v>
      </c>
      <c r="D5" s="59" t="s">
        <v>2168</v>
      </c>
      <c r="E5" s="59" t="s">
        <v>2169</v>
      </c>
      <c r="F5" s="59" t="s">
        <v>2170</v>
      </c>
      <c r="G5" s="59" t="s">
        <v>2171</v>
      </c>
      <c r="H5" s="59" t="s">
        <v>2172</v>
      </c>
    </row>
    <row r="6" spans="1:8" ht="15" customHeight="1" x14ac:dyDescent="0.15">
      <c r="A6" s="57" t="s">
        <v>2173</v>
      </c>
      <c r="B6" s="57" t="s">
        <v>2174</v>
      </c>
      <c r="C6" s="58" t="s">
        <v>2175</v>
      </c>
      <c r="D6" s="58" t="s">
        <v>2176</v>
      </c>
      <c r="E6" s="58" t="s">
        <v>2177</v>
      </c>
      <c r="F6" s="58" t="s">
        <v>2178</v>
      </c>
      <c r="G6" s="57" t="s">
        <v>2179</v>
      </c>
      <c r="H6" s="57" t="s">
        <v>2179</v>
      </c>
    </row>
    <row r="7" spans="1:8" ht="15" customHeight="1" x14ac:dyDescent="0.15">
      <c r="A7" s="57" t="s">
        <v>1470</v>
      </c>
      <c r="B7" s="57" t="s">
        <v>2174</v>
      </c>
      <c r="C7" s="58" t="s">
        <v>2180</v>
      </c>
      <c r="D7" s="58" t="s">
        <v>2181</v>
      </c>
      <c r="E7" s="58" t="s">
        <v>2177</v>
      </c>
      <c r="F7" s="58" t="s">
        <v>2182</v>
      </c>
      <c r="G7" s="57" t="s">
        <v>2183</v>
      </c>
      <c r="H7" s="57" t="s">
        <v>2184</v>
      </c>
    </row>
    <row r="8" spans="1:8" ht="15" customHeight="1" x14ac:dyDescent="0.15">
      <c r="A8" s="57" t="s">
        <v>2185</v>
      </c>
      <c r="B8" s="57" t="s">
        <v>2174</v>
      </c>
      <c r="C8" s="58" t="s">
        <v>2186</v>
      </c>
      <c r="D8" s="58" t="s">
        <v>2187</v>
      </c>
      <c r="E8" s="58" t="s">
        <v>2177</v>
      </c>
      <c r="F8" s="58" t="s">
        <v>2188</v>
      </c>
      <c r="G8" s="57" t="s">
        <v>2179</v>
      </c>
      <c r="H8" s="57" t="s">
        <v>2189</v>
      </c>
    </row>
    <row r="9" spans="1:8" ht="15" customHeight="1" x14ac:dyDescent="0.15">
      <c r="A9" s="57" t="s">
        <v>2190</v>
      </c>
      <c r="B9" s="57" t="s">
        <v>2174</v>
      </c>
      <c r="C9" s="58" t="s">
        <v>2191</v>
      </c>
      <c r="D9" s="58" t="s">
        <v>2192</v>
      </c>
      <c r="E9" s="58" t="s">
        <v>2177</v>
      </c>
      <c r="F9" s="58" t="s">
        <v>2193</v>
      </c>
      <c r="G9" s="57" t="s">
        <v>2179</v>
      </c>
      <c r="H9" s="57" t="s">
        <v>2189</v>
      </c>
    </row>
    <row r="10" spans="1:8" ht="15" customHeight="1" x14ac:dyDescent="0.15">
      <c r="A10" s="57" t="s">
        <v>2194</v>
      </c>
      <c r="B10" s="57" t="s">
        <v>2174</v>
      </c>
      <c r="C10" s="58" t="s">
        <v>2195</v>
      </c>
      <c r="D10" s="58" t="s">
        <v>2196</v>
      </c>
      <c r="E10" s="58" t="s">
        <v>2177</v>
      </c>
      <c r="F10" s="58" t="s">
        <v>2197</v>
      </c>
      <c r="G10" s="57" t="s">
        <v>2179</v>
      </c>
      <c r="H10" s="57" t="s">
        <v>2189</v>
      </c>
    </row>
    <row r="11" spans="1:8" ht="15" customHeight="1" x14ac:dyDescent="0.15">
      <c r="A11" s="57" t="s">
        <v>2198</v>
      </c>
      <c r="B11" s="57" t="s">
        <v>2174</v>
      </c>
      <c r="C11" s="58" t="s">
        <v>2199</v>
      </c>
      <c r="D11" s="58" t="s">
        <v>2200</v>
      </c>
      <c r="E11" s="58" t="s">
        <v>2177</v>
      </c>
      <c r="F11" s="58" t="s">
        <v>2201</v>
      </c>
      <c r="G11" s="57" t="s">
        <v>2179</v>
      </c>
      <c r="H11" s="57" t="s">
        <v>2189</v>
      </c>
    </row>
    <row r="12" spans="1:8" ht="15" customHeight="1" x14ac:dyDescent="0.15">
      <c r="A12" s="57" t="s">
        <v>2202</v>
      </c>
      <c r="B12" s="57" t="s">
        <v>2174</v>
      </c>
      <c r="C12" s="58" t="s">
        <v>2203</v>
      </c>
      <c r="D12" s="58" t="s">
        <v>2204</v>
      </c>
      <c r="E12" s="58" t="s">
        <v>2177</v>
      </c>
      <c r="F12" s="58" t="s">
        <v>2205</v>
      </c>
      <c r="G12" s="57" t="s">
        <v>2179</v>
      </c>
      <c r="H12" s="57" t="s">
        <v>2189</v>
      </c>
    </row>
    <row r="13" spans="1:8" ht="15" customHeight="1" x14ac:dyDescent="0.15">
      <c r="A13" s="57" t="s">
        <v>2206</v>
      </c>
      <c r="B13" s="57" t="s">
        <v>2174</v>
      </c>
      <c r="C13" s="58" t="s">
        <v>2207</v>
      </c>
      <c r="D13" s="58" t="s">
        <v>2208</v>
      </c>
      <c r="E13" s="58" t="s">
        <v>2177</v>
      </c>
      <c r="F13" s="58" t="s">
        <v>2209</v>
      </c>
      <c r="G13" s="57" t="s">
        <v>2179</v>
      </c>
      <c r="H13" s="57" t="s">
        <v>2189</v>
      </c>
    </row>
    <row r="14" spans="1:8" ht="15" customHeight="1" x14ac:dyDescent="0.15">
      <c r="A14" s="57" t="s">
        <v>2210</v>
      </c>
      <c r="B14" s="57" t="s">
        <v>2174</v>
      </c>
      <c r="C14" s="58" t="s">
        <v>2211</v>
      </c>
      <c r="D14" s="58" t="s">
        <v>2212</v>
      </c>
      <c r="E14" s="58" t="s">
        <v>2177</v>
      </c>
      <c r="F14" s="58" t="s">
        <v>2213</v>
      </c>
      <c r="G14" s="57" t="s">
        <v>2179</v>
      </c>
      <c r="H14" s="57" t="s">
        <v>2189</v>
      </c>
    </row>
    <row r="15" spans="1:8" ht="15" customHeight="1" x14ac:dyDescent="0.15">
      <c r="A15" s="57" t="s">
        <v>2214</v>
      </c>
      <c r="B15" s="57" t="s">
        <v>2174</v>
      </c>
      <c r="C15" s="58" t="s">
        <v>2215</v>
      </c>
      <c r="D15" s="58" t="s">
        <v>2216</v>
      </c>
      <c r="E15" s="58" t="s">
        <v>2177</v>
      </c>
      <c r="F15" s="58" t="s">
        <v>2217</v>
      </c>
      <c r="G15" s="57" t="s">
        <v>2179</v>
      </c>
      <c r="H15" s="57" t="s">
        <v>2189</v>
      </c>
    </row>
    <row r="16" spans="1:8" ht="15" customHeight="1" x14ac:dyDescent="0.15">
      <c r="A16" s="57" t="s">
        <v>2218</v>
      </c>
      <c r="B16" s="57" t="s">
        <v>2174</v>
      </c>
      <c r="C16" s="58" t="s">
        <v>2219</v>
      </c>
      <c r="D16" s="58" t="s">
        <v>2220</v>
      </c>
      <c r="E16" s="58" t="s">
        <v>2177</v>
      </c>
      <c r="F16" s="58" t="s">
        <v>2221</v>
      </c>
      <c r="G16" s="57" t="s">
        <v>2179</v>
      </c>
      <c r="H16" s="57" t="s">
        <v>2189</v>
      </c>
    </row>
    <row r="17" spans="1:8" ht="15" customHeight="1" x14ac:dyDescent="0.15">
      <c r="A17" s="57" t="s">
        <v>2222</v>
      </c>
      <c r="B17" s="57" t="s">
        <v>2174</v>
      </c>
      <c r="C17" s="58" t="s">
        <v>2223</v>
      </c>
      <c r="D17" s="58" t="s">
        <v>2224</v>
      </c>
      <c r="E17" s="58" t="s">
        <v>2177</v>
      </c>
      <c r="F17" s="58" t="s">
        <v>2225</v>
      </c>
      <c r="G17" s="57" t="s">
        <v>2226</v>
      </c>
      <c r="H17" s="57" t="s">
        <v>2179</v>
      </c>
    </row>
    <row r="18" spans="1:8" ht="15" customHeight="1" x14ac:dyDescent="0.15">
      <c r="A18" s="57" t="s">
        <v>2227</v>
      </c>
      <c r="B18" s="57" t="s">
        <v>2174</v>
      </c>
      <c r="C18" s="58" t="s">
        <v>2228</v>
      </c>
      <c r="D18" s="58" t="s">
        <v>2229</v>
      </c>
      <c r="E18" s="58" t="s">
        <v>2177</v>
      </c>
      <c r="F18" s="58" t="s">
        <v>2230</v>
      </c>
      <c r="G18" s="57" t="s">
        <v>2226</v>
      </c>
      <c r="H18" s="57" t="s">
        <v>2179</v>
      </c>
    </row>
    <row r="19" spans="1:8" ht="15" customHeight="1" x14ac:dyDescent="0.15">
      <c r="A19" s="57" t="s">
        <v>2231</v>
      </c>
      <c r="B19" s="57" t="s">
        <v>2174</v>
      </c>
      <c r="C19" s="58" t="s">
        <v>2232</v>
      </c>
      <c r="D19" s="58" t="s">
        <v>2233</v>
      </c>
      <c r="E19" s="58" t="s">
        <v>2177</v>
      </c>
      <c r="F19" s="58" t="s">
        <v>2234</v>
      </c>
      <c r="G19" s="57" t="s">
        <v>2226</v>
      </c>
      <c r="H19" s="57" t="s">
        <v>2179</v>
      </c>
    </row>
    <row r="20" spans="1:8" ht="15" customHeight="1" x14ac:dyDescent="0.15">
      <c r="A20" s="57" t="s">
        <v>2235</v>
      </c>
      <c r="B20" s="57" t="s">
        <v>2174</v>
      </c>
      <c r="C20" s="58" t="s">
        <v>2236</v>
      </c>
      <c r="D20" s="58" t="s">
        <v>2237</v>
      </c>
      <c r="E20" s="58" t="s">
        <v>2177</v>
      </c>
      <c r="F20" s="58" t="s">
        <v>2238</v>
      </c>
      <c r="G20" s="57" t="s">
        <v>2226</v>
      </c>
      <c r="H20" s="57" t="s">
        <v>2179</v>
      </c>
    </row>
    <row r="21" spans="1:8" ht="15" customHeight="1" x14ac:dyDescent="0.15">
      <c r="A21" s="57" t="s">
        <v>2239</v>
      </c>
      <c r="B21" s="57" t="s">
        <v>2174</v>
      </c>
      <c r="C21" s="58" t="s">
        <v>2240</v>
      </c>
      <c r="D21" s="58" t="s">
        <v>2241</v>
      </c>
      <c r="E21" s="58" t="s">
        <v>2177</v>
      </c>
      <c r="F21" s="58" t="s">
        <v>2242</v>
      </c>
      <c r="G21" s="57" t="s">
        <v>2226</v>
      </c>
      <c r="H21" s="57" t="s">
        <v>2179</v>
      </c>
    </row>
    <row r="22" spans="1:8" ht="15" customHeight="1" x14ac:dyDescent="0.15">
      <c r="A22" s="57" t="s">
        <v>2243</v>
      </c>
      <c r="B22" s="57" t="s">
        <v>2174</v>
      </c>
      <c r="C22" s="58" t="s">
        <v>2244</v>
      </c>
      <c r="D22" s="58" t="s">
        <v>2245</v>
      </c>
      <c r="E22" s="58" t="s">
        <v>2177</v>
      </c>
      <c r="F22" s="58" t="s">
        <v>2246</v>
      </c>
      <c r="G22" s="57" t="s">
        <v>2226</v>
      </c>
      <c r="H22" s="57" t="s">
        <v>2179</v>
      </c>
    </row>
    <row r="23" spans="1:8" ht="15" customHeight="1" x14ac:dyDescent="0.15">
      <c r="A23" s="57" t="s">
        <v>2247</v>
      </c>
      <c r="B23" s="57" t="s">
        <v>2174</v>
      </c>
      <c r="C23" s="58" t="s">
        <v>2248</v>
      </c>
      <c r="D23" s="58" t="s">
        <v>2249</v>
      </c>
      <c r="E23" s="58" t="s">
        <v>2177</v>
      </c>
      <c r="F23" s="58" t="s">
        <v>2250</v>
      </c>
      <c r="G23" s="57" t="s">
        <v>2226</v>
      </c>
      <c r="H23" s="57" t="s">
        <v>2179</v>
      </c>
    </row>
    <row r="24" spans="1:8" ht="15" customHeight="1" x14ac:dyDescent="0.15">
      <c r="A24" s="57" t="s">
        <v>2251</v>
      </c>
      <c r="B24" s="57" t="s">
        <v>2174</v>
      </c>
      <c r="C24" s="58" t="s">
        <v>2252</v>
      </c>
      <c r="D24" s="58" t="s">
        <v>2253</v>
      </c>
      <c r="E24" s="58" t="s">
        <v>2177</v>
      </c>
      <c r="F24" s="58" t="s">
        <v>2254</v>
      </c>
      <c r="G24" s="57" t="s">
        <v>2226</v>
      </c>
      <c r="H24" s="57" t="s">
        <v>2179</v>
      </c>
    </row>
    <row r="25" spans="1:8" ht="15" customHeight="1" x14ac:dyDescent="0.15">
      <c r="A25" s="57"/>
      <c r="B25" s="57"/>
      <c r="C25" s="57"/>
      <c r="D25" s="57"/>
      <c r="E25" s="57"/>
      <c r="F25" s="57"/>
      <c r="G25" s="57"/>
      <c r="H25" s="57"/>
    </row>
    <row r="26" spans="1:8" ht="15" customHeight="1" x14ac:dyDescent="0.15">
      <c r="A26" s="57" t="s">
        <v>439</v>
      </c>
      <c r="B26" s="57" t="s">
        <v>2255</v>
      </c>
      <c r="C26" s="57" t="s">
        <v>2256</v>
      </c>
      <c r="D26" s="57" t="s">
        <v>2257</v>
      </c>
      <c r="E26" s="57" t="s">
        <v>2177</v>
      </c>
      <c r="F26" s="57" t="s">
        <v>2258</v>
      </c>
      <c r="G26" s="57" t="s">
        <v>2179</v>
      </c>
      <c r="H26" s="57" t="s">
        <v>2259</v>
      </c>
    </row>
    <row r="27" spans="1:8" ht="15" customHeight="1" x14ac:dyDescent="0.15">
      <c r="A27" s="61"/>
      <c r="B27" s="61"/>
      <c r="C27" s="61"/>
      <c r="D27" s="61"/>
      <c r="E27" s="61"/>
      <c r="F27" s="61"/>
      <c r="G27" s="61"/>
      <c r="H27" s="61"/>
    </row>
    <row r="28" spans="1:8" ht="15" customHeight="1" x14ac:dyDescent="0.15">
      <c r="A28" s="61" t="s">
        <v>2260</v>
      </c>
      <c r="B28" s="61" t="s">
        <v>2261</v>
      </c>
      <c r="C28" s="61" t="s">
        <v>2262</v>
      </c>
      <c r="D28" s="61" t="s">
        <v>2263</v>
      </c>
      <c r="E28" s="61" t="s">
        <v>2177</v>
      </c>
      <c r="F28" s="61" t="s">
        <v>2264</v>
      </c>
      <c r="G28" s="61" t="s">
        <v>2179</v>
      </c>
      <c r="H28" s="61" t="s">
        <v>2265</v>
      </c>
    </row>
    <row r="29" spans="1:8" ht="15" customHeight="1" x14ac:dyDescent="0.15">
      <c r="A29" s="61" t="s">
        <v>2266</v>
      </c>
      <c r="B29" s="61" t="s">
        <v>2261</v>
      </c>
      <c r="C29" s="61" t="s">
        <v>2267</v>
      </c>
      <c r="D29" s="61" t="s">
        <v>2268</v>
      </c>
      <c r="E29" s="61" t="s">
        <v>2177</v>
      </c>
      <c r="F29" s="61" t="s">
        <v>2269</v>
      </c>
      <c r="G29" s="61" t="s">
        <v>2270</v>
      </c>
      <c r="H29" s="61" t="s">
        <v>2271</v>
      </c>
    </row>
    <row r="30" spans="1:8" ht="15" customHeight="1" x14ac:dyDescent="0.15">
      <c r="A30" s="61" t="s">
        <v>1370</v>
      </c>
      <c r="B30" s="61" t="s">
        <v>2261</v>
      </c>
      <c r="C30" s="61" t="s">
        <v>2272</v>
      </c>
      <c r="D30" s="61" t="s">
        <v>2273</v>
      </c>
      <c r="E30" s="61" t="s">
        <v>2177</v>
      </c>
      <c r="F30" s="61" t="s">
        <v>2274</v>
      </c>
      <c r="G30" s="61" t="s">
        <v>2275</v>
      </c>
      <c r="H30" s="61" t="s">
        <v>2276</v>
      </c>
    </row>
    <row r="31" spans="1:8" ht="15" customHeight="1" x14ac:dyDescent="0.15">
      <c r="A31" s="61" t="s">
        <v>1374</v>
      </c>
      <c r="B31" s="61" t="s">
        <v>2261</v>
      </c>
      <c r="C31" s="61" t="s">
        <v>2277</v>
      </c>
      <c r="D31" s="61" t="s">
        <v>2278</v>
      </c>
      <c r="E31" s="61" t="s">
        <v>2177</v>
      </c>
      <c r="F31" s="61" t="s">
        <v>2279</v>
      </c>
      <c r="G31" s="61" t="s">
        <v>2280</v>
      </c>
      <c r="H31" s="61" t="s">
        <v>2281</v>
      </c>
    </row>
    <row r="32" spans="1:8" ht="15" customHeight="1" x14ac:dyDescent="0.15">
      <c r="A32" s="61" t="s">
        <v>2282</v>
      </c>
      <c r="B32" s="61" t="s">
        <v>2261</v>
      </c>
      <c r="C32" s="61" t="s">
        <v>2283</v>
      </c>
      <c r="D32" s="61" t="s">
        <v>2284</v>
      </c>
      <c r="E32" s="61" t="s">
        <v>2177</v>
      </c>
      <c r="F32" s="61" t="s">
        <v>2285</v>
      </c>
      <c r="G32" s="61" t="s">
        <v>2179</v>
      </c>
      <c r="H32" s="61" t="s">
        <v>2286</v>
      </c>
    </row>
    <row r="33" spans="1:8" ht="15" customHeight="1" x14ac:dyDescent="0.15">
      <c r="A33" s="61" t="s">
        <v>2287</v>
      </c>
      <c r="B33" s="61" t="s">
        <v>2261</v>
      </c>
      <c r="C33" s="61" t="s">
        <v>2288</v>
      </c>
      <c r="D33" s="61" t="s">
        <v>2289</v>
      </c>
      <c r="E33" s="61" t="s">
        <v>2177</v>
      </c>
      <c r="F33" s="61" t="s">
        <v>2290</v>
      </c>
      <c r="G33" s="61" t="s">
        <v>2291</v>
      </c>
      <c r="H33" s="61" t="s">
        <v>2292</v>
      </c>
    </row>
    <row r="34" spans="1:8" ht="15" customHeight="1" x14ac:dyDescent="0.15">
      <c r="A34" s="61" t="s">
        <v>2293</v>
      </c>
      <c r="B34" s="61" t="s">
        <v>2261</v>
      </c>
      <c r="C34" s="61" t="s">
        <v>2294</v>
      </c>
      <c r="D34" s="61" t="s">
        <v>2295</v>
      </c>
      <c r="E34" s="61" t="s">
        <v>2177</v>
      </c>
      <c r="F34" s="61" t="s">
        <v>2296</v>
      </c>
      <c r="G34" s="61" t="s">
        <v>2297</v>
      </c>
      <c r="H34" s="61" t="s">
        <v>2298</v>
      </c>
    </row>
    <row r="35" spans="1:8" ht="15" customHeight="1" x14ac:dyDescent="0.15">
      <c r="A35" s="57" t="s">
        <v>2299</v>
      </c>
      <c r="B35" s="57" t="s">
        <v>2174</v>
      </c>
      <c r="C35" s="57" t="s">
        <v>2300</v>
      </c>
      <c r="D35" s="57" t="s">
        <v>2301</v>
      </c>
      <c r="E35" s="57" t="s">
        <v>2177</v>
      </c>
      <c r="F35" s="57" t="s">
        <v>2302</v>
      </c>
      <c r="G35" s="57" t="s">
        <v>2179</v>
      </c>
      <c r="H35" s="57" t="s">
        <v>2179</v>
      </c>
    </row>
    <row r="36" spans="1:8" ht="13.5" customHeight="1" x14ac:dyDescent="0.15">
      <c r="A36" s="57" t="s">
        <v>1381</v>
      </c>
      <c r="B36" s="57" t="s">
        <v>2261</v>
      </c>
      <c r="C36" s="57" t="s">
        <v>2303</v>
      </c>
      <c r="D36" s="57" t="s">
        <v>2304</v>
      </c>
      <c r="E36" s="57" t="s">
        <v>2177</v>
      </c>
      <c r="F36" s="57" t="s">
        <v>2305</v>
      </c>
      <c r="G36" s="57" t="s">
        <v>2179</v>
      </c>
      <c r="H36" s="57" t="s">
        <v>2306</v>
      </c>
    </row>
    <row r="37" spans="1:8" ht="13.5" customHeight="1" x14ac:dyDescent="0.15">
      <c r="A37" s="57" t="s">
        <v>1569</v>
      </c>
      <c r="B37" s="57" t="s">
        <v>2261</v>
      </c>
      <c r="C37" s="57" t="s">
        <v>2307</v>
      </c>
      <c r="D37" s="57" t="s">
        <v>2308</v>
      </c>
      <c r="E37" s="57" t="s">
        <v>2177</v>
      </c>
      <c r="F37" s="57" t="s">
        <v>2309</v>
      </c>
      <c r="G37" s="57" t="s">
        <v>2179</v>
      </c>
      <c r="H37" s="57" t="s">
        <v>2310</v>
      </c>
    </row>
    <row r="38" spans="1:8" ht="13.5" customHeight="1" x14ac:dyDescent="0.15">
      <c r="A38" s="57" t="s">
        <v>2311</v>
      </c>
      <c r="B38" s="57" t="s">
        <v>2261</v>
      </c>
      <c r="C38" s="57" t="s">
        <v>2312</v>
      </c>
      <c r="D38" s="57" t="s">
        <v>2313</v>
      </c>
      <c r="E38" s="57" t="s">
        <v>2177</v>
      </c>
      <c r="F38" s="57" t="s">
        <v>2314</v>
      </c>
      <c r="G38" s="57" t="s">
        <v>2179</v>
      </c>
      <c r="H38" s="57" t="s">
        <v>2315</v>
      </c>
    </row>
    <row r="39" spans="1:8" ht="13.5" customHeight="1" x14ac:dyDescent="0.15">
      <c r="A39" s="57" t="s">
        <v>2063</v>
      </c>
      <c r="B39" s="57" t="s">
        <v>2261</v>
      </c>
      <c r="C39" s="57" t="s">
        <v>2316</v>
      </c>
      <c r="D39" s="57" t="s">
        <v>2317</v>
      </c>
      <c r="E39" s="57" t="s">
        <v>2177</v>
      </c>
      <c r="F39" s="57" t="s">
        <v>2318</v>
      </c>
      <c r="G39" s="57" t="s">
        <v>2179</v>
      </c>
    </row>
    <row r="40" spans="1:8" ht="13.5" customHeight="1" x14ac:dyDescent="0.15">
      <c r="A40" s="57" t="s">
        <v>2319</v>
      </c>
      <c r="B40" s="57" t="s">
        <v>2174</v>
      </c>
      <c r="C40" s="57" t="s">
        <v>2320</v>
      </c>
      <c r="D40" s="57" t="s">
        <v>2321</v>
      </c>
      <c r="E40" s="57" t="s">
        <v>2177</v>
      </c>
      <c r="F40" s="57" t="s">
        <v>2322</v>
      </c>
      <c r="G40" s="57" t="s">
        <v>2179</v>
      </c>
      <c r="H40" s="57" t="s">
        <v>2323</v>
      </c>
    </row>
  </sheetData>
  <phoneticPr fontId="61" type="noConversion"/>
  <pageMargins left="0.75" right="0.75" top="1" bottom="1"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工作表</vt:lpstr>
      </vt:variant>
      <vt:variant>
        <vt:i4>16</vt:i4>
      </vt:variant>
    </vt:vector>
  </HeadingPairs>
  <TitlesOfParts>
    <vt:vector size="16" baseType="lpstr">
      <vt:lpstr>Cover</vt:lpstr>
      <vt:lpstr>Graphs</vt:lpstr>
      <vt:lpstr>Summary</vt:lpstr>
      <vt:lpstr>Guidance</vt:lpstr>
      <vt:lpstr>Comps</vt:lpstr>
      <vt:lpstr>Consensus</vt:lpstr>
      <vt:lpstr>Assumptions</vt:lpstr>
      <vt:lpstr>Segment</vt:lpstr>
      <vt:lpstr>IS</vt:lpstr>
      <vt:lpstr>BS</vt:lpstr>
      <vt:lpstr>CF</vt:lpstr>
      <vt:lpstr>Checks</vt:lpstr>
      <vt:lpstr>DCF</vt:lpstr>
      <vt:lpstr>Valuation</vt:lpstr>
      <vt:lpstr>Raw_Data</vt:lpstr>
      <vt:lpstr>Data_Sources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NVDA three-statement model</dc:title>
  <dc:subject/>
  <dc:description/>
  <cp:lastModifiedBy>HB28723@365mak.com</cp:lastModifiedBy>
  <dcterms:modified xsi:type="dcterms:W3CDTF">2026-10-23T14:01:52Z</dcterms:modified>
  <dc:language>en-US</dc:language>
</cp:coreProperties>
</file>